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cvalin\Documents\2025\3025019 - Obnova ulice Tyršova, Dobrovice rek. vodovodu a kanalizace\08_Cena POHL\odbyt\"/>
    </mc:Choice>
  </mc:AlternateContent>
  <xr:revisionPtr revIDLastSave="0" documentId="8_{DFA8850F-4A36-4498-96FC-58B7BDA59854}" xr6:coauthVersionLast="47" xr6:coauthVersionMax="47" xr10:uidLastSave="{00000000-0000-0000-0000-000000000000}"/>
  <bookViews>
    <workbookView xWindow="25080" yWindow="-120" windowWidth="25440" windowHeight="15390" xr2:uid="{76527CBA-39B0-42EB-871D-5C6FF09ADF11}"/>
  </bookViews>
  <sheets>
    <sheet name="Rekapitulace I.+II." sheetId="1" r:id="rId1"/>
    <sheet name="SO 102.I Chodník" sheetId="2" r:id="rId2"/>
    <sheet name="SO 103.I Parkovací stání" sheetId="3" r:id="rId3"/>
    <sheet name="SO 104.I MK" sheetId="4" r:id="rId4"/>
    <sheet name="SO 105.I Přechody" sheetId="5" r:id="rId5"/>
    <sheet name="SO 106.I Sjezd" sheetId="6" r:id="rId6"/>
    <sheet name="SO 303.I Odvodnění" sheetId="7" r:id="rId7"/>
    <sheet name="SO 401.I VO" sheetId="8" r:id="rId8"/>
    <sheet name="SO 404.I Optika" sheetId="9" r:id="rId9"/>
    <sheet name="SO 801.I Sad" sheetId="10" r:id="rId10"/>
    <sheet name="SO 101.II Nový chodník" sheetId="11" r:id="rId11"/>
    <sheet name="SO 102.II Chodník" sheetId="12" r:id="rId12"/>
    <sheet name="SO 103.II Parkovací stání" sheetId="13" r:id="rId13"/>
    <sheet name="SO 104.II MK" sheetId="14" r:id="rId14"/>
    <sheet name="SO 105.II Přechody" sheetId="15" r:id="rId15"/>
    <sheet name="SO 106.II Sjezd" sheetId="16" r:id="rId16"/>
    <sheet name="SO 303.II Odvodnění" sheetId="17" r:id="rId17"/>
    <sheet name="SO 401.II VO" sheetId="18" r:id="rId18"/>
    <sheet name="SO 404.II Optika" sheetId="19" r:id="rId19"/>
    <sheet name="SO 801.II Sad" sheetId="20" r:id="rId20"/>
    <sheet name="VON I.+II." sheetId="21" r:id="rId21"/>
    <sheet name="Pokyny pro vyplnění" sheetId="22" r:id="rId22"/>
  </sheets>
  <definedNames>
    <definedName name="_xlnm._FilterDatabase" localSheetId="10" hidden="1">'SO 101.II Nový chodník'!$C$123:$K$236</definedName>
    <definedName name="_xlnm._FilterDatabase" localSheetId="1" hidden="1">'SO 102.I Chodník'!$C$123:$K$236</definedName>
    <definedName name="_xlnm._FilterDatabase" localSheetId="11" hidden="1">'SO 102.II Chodník'!$C$123:$K$236</definedName>
    <definedName name="_xlnm._FilterDatabase" localSheetId="2" hidden="1">'SO 103.I Parkovací stání'!$C$121:$K$200</definedName>
    <definedName name="_xlnm._FilterDatabase" localSheetId="12" hidden="1">'SO 103.II Parkovací stání'!$C$121:$K$200</definedName>
    <definedName name="_xlnm._FilterDatabase" localSheetId="3" hidden="1">'SO 104.I MK'!$C$121:$K$269</definedName>
    <definedName name="_xlnm._FilterDatabase" localSheetId="13" hidden="1">'SO 104.II MK'!$C$121:$K$269</definedName>
    <definedName name="_xlnm._FilterDatabase" localSheetId="4" hidden="1">'SO 105.I Přechody'!$C$118:$K$128</definedName>
    <definedName name="_xlnm._FilterDatabase" localSheetId="14" hidden="1">'SO 105.II Přechody'!$C$118:$K$128</definedName>
    <definedName name="_xlnm._FilterDatabase" localSheetId="5" hidden="1">'SO 106.I Sjezd'!$C$121:$K$204</definedName>
    <definedName name="_xlnm._FilterDatabase" localSheetId="15" hidden="1">'SO 106.II Sjezd'!$C$121:$K$204</definedName>
    <definedName name="_xlnm._FilterDatabase" localSheetId="6" hidden="1">'SO 303.I Odvodnění'!$C$126:$K$355</definedName>
    <definedName name="_xlnm._FilterDatabase" localSheetId="16" hidden="1">'SO 303.II Odvodnění'!$C$126:$K$355</definedName>
    <definedName name="_xlnm._FilterDatabase" localSheetId="7" hidden="1">'SO 401.I VO'!$C$123:$K$213</definedName>
    <definedName name="_xlnm._FilterDatabase" localSheetId="17" hidden="1">'SO 401.II VO'!$C$123:$K$213</definedName>
    <definedName name="_xlnm._FilterDatabase" localSheetId="8" hidden="1">'SO 404.I Optika'!$C$119:$K$135</definedName>
    <definedName name="_xlnm._FilterDatabase" localSheetId="18" hidden="1">'SO 404.II Optika'!$C$119:$K$135</definedName>
    <definedName name="_xlnm._FilterDatabase" localSheetId="9" hidden="1">'SO 801.I Sad'!$C$118:$K$150</definedName>
    <definedName name="_xlnm._FilterDatabase" localSheetId="19" hidden="1">'SO 801.II Sad'!$C$118:$K$150</definedName>
    <definedName name="_xlnm._FilterDatabase" localSheetId="20" hidden="1">'VON I.+II.'!$C$125:$K$210</definedName>
    <definedName name="_xlnm.Print_Titles" localSheetId="0">'Rekapitulace I.+II.'!$92:$92</definedName>
    <definedName name="_xlnm.Print_Titles" localSheetId="10">'SO 101.II Nový chodník'!$123:$123</definedName>
    <definedName name="_xlnm.Print_Titles" localSheetId="1">'SO 102.I Chodník'!$123:$123</definedName>
    <definedName name="_xlnm.Print_Titles" localSheetId="11">'SO 102.II Chodník'!$123:$123</definedName>
    <definedName name="_xlnm.Print_Titles" localSheetId="2">'SO 103.I Parkovací stání'!$121:$121</definedName>
    <definedName name="_xlnm.Print_Titles" localSheetId="12">'SO 103.II Parkovací stání'!$121:$121</definedName>
    <definedName name="_xlnm.Print_Titles" localSheetId="3">'SO 104.I MK'!$121:$121</definedName>
    <definedName name="_xlnm.Print_Titles" localSheetId="13">'SO 104.II MK'!$121:$121</definedName>
    <definedName name="_xlnm.Print_Titles" localSheetId="4">'SO 105.I Přechody'!$118:$118</definedName>
    <definedName name="_xlnm.Print_Titles" localSheetId="14">'SO 105.II Přechody'!$118:$118</definedName>
    <definedName name="_xlnm.Print_Titles" localSheetId="5">'SO 106.I Sjezd'!$121:$121</definedName>
    <definedName name="_xlnm.Print_Titles" localSheetId="15">'SO 106.II Sjezd'!$121:$121</definedName>
    <definedName name="_xlnm.Print_Titles" localSheetId="6">'SO 303.I Odvodnění'!$126:$126</definedName>
    <definedName name="_xlnm.Print_Titles" localSheetId="16">'SO 303.II Odvodnění'!$126:$126</definedName>
    <definedName name="_xlnm.Print_Titles" localSheetId="7">'SO 401.I VO'!$123:$123</definedName>
    <definedName name="_xlnm.Print_Titles" localSheetId="17">'SO 401.II VO'!$123:$123</definedName>
    <definedName name="_xlnm.Print_Titles" localSheetId="8">'SO 404.I Optika'!$119:$119</definedName>
    <definedName name="_xlnm.Print_Titles" localSheetId="18">'SO 404.II Optika'!$119:$119</definedName>
    <definedName name="_xlnm.Print_Titles" localSheetId="9">'SO 801.I Sad'!$118:$118</definedName>
    <definedName name="_xlnm.Print_Titles" localSheetId="19">'SO 801.II Sad'!$118:$118</definedName>
    <definedName name="_xlnm.Print_Titles" localSheetId="20">'VON I.+II.'!$125:$125</definedName>
    <definedName name="_xlnm.Print_Area" localSheetId="0">'Rekapitulace I.+II.'!$D$4:$AO$76,'Rekapitulace I.+II.'!$C$82:$AQ$115</definedName>
    <definedName name="_xlnm.Print_Area" localSheetId="10">'SO 101.II Nový chodník'!$C$4:$J$39,'SO 101.II Nový chodník'!$C$50:$J$76,'SO 101.II Nový chodník'!$C$82:$J$105,'SO 101.II Nový chodník'!$C$111:$K$236</definedName>
    <definedName name="_xlnm.Print_Area" localSheetId="1">'SO 102.I Chodník'!$C$4:$J$39,'SO 102.I Chodník'!$C$50:$J$76,'SO 102.I Chodník'!$C$82:$J$105,'SO 102.I Chodník'!$C$111:$K$236</definedName>
    <definedName name="_xlnm.Print_Area" localSheetId="11">'SO 102.II Chodník'!$C$4:$J$39,'SO 102.II Chodník'!$C$50:$J$76,'SO 102.II Chodník'!$C$82:$J$105,'SO 102.II Chodník'!$C$111:$K$236</definedName>
    <definedName name="_xlnm.Print_Area" localSheetId="2">'SO 103.I Parkovací stání'!$C$4:$J$39,'SO 103.I Parkovací stání'!$C$50:$J$76,'SO 103.I Parkovací stání'!$C$82:$J$103,'SO 103.I Parkovací stání'!$C$109:$K$200</definedName>
    <definedName name="_xlnm.Print_Area" localSheetId="12">'SO 103.II Parkovací stání'!$C$4:$J$39,'SO 103.II Parkovací stání'!$C$50:$J$76,'SO 103.II Parkovací stání'!$C$82:$J$103,'SO 103.II Parkovací stání'!$C$109:$K$200</definedName>
    <definedName name="_xlnm.Print_Area" localSheetId="3">'SO 104.I MK'!$C$4:$J$39,'SO 104.I MK'!$C$50:$J$76,'SO 104.I MK'!$C$82:$J$103,'SO 104.I MK'!$C$109:$K$269</definedName>
    <definedName name="_xlnm.Print_Area" localSheetId="13">'SO 104.II MK'!$C$4:$J$39,'SO 104.II MK'!$C$50:$J$76,'SO 104.II MK'!$C$82:$J$103,'SO 104.II MK'!$C$109:$K$269</definedName>
    <definedName name="_xlnm.Print_Area" localSheetId="4">'SO 105.I Přechody'!$C$4:$J$39,'SO 105.I Přechody'!$C$50:$J$76,'SO 105.I Přechody'!$C$82:$J$100,'SO 105.I Přechody'!$C$106:$K$128</definedName>
    <definedName name="_xlnm.Print_Area" localSheetId="14">'SO 105.II Přechody'!$C$4:$J$39,'SO 105.II Přechody'!$C$50:$J$76,'SO 105.II Přechody'!$C$82:$J$100,'SO 105.II Přechody'!$C$106:$K$128</definedName>
    <definedName name="_xlnm.Print_Area" localSheetId="5">'SO 106.I Sjezd'!$C$4:$J$39,'SO 106.I Sjezd'!$C$50:$J$76,'SO 106.I Sjezd'!$C$82:$J$103,'SO 106.I Sjezd'!$C$109:$K$204</definedName>
    <definedName name="_xlnm.Print_Area" localSheetId="15">'SO 106.II Sjezd'!$C$4:$J$39,'SO 106.II Sjezd'!$C$50:$J$76,'SO 106.II Sjezd'!$C$82:$J$103,'SO 106.II Sjezd'!$C$109:$K$204</definedName>
    <definedName name="_xlnm.Print_Area" localSheetId="6">'SO 303.I Odvodnění'!$C$4:$J$39,'SO 303.I Odvodnění'!$C$50:$J$76,'SO 303.I Odvodnění'!$C$82:$J$108,'SO 303.I Odvodnění'!$C$114:$K$355</definedName>
    <definedName name="_xlnm.Print_Area" localSheetId="16">'SO 303.II Odvodnění'!$C$4:$J$39,'SO 303.II Odvodnění'!$C$50:$J$76,'SO 303.II Odvodnění'!$C$82:$J$108,'SO 303.II Odvodnění'!$C$114:$K$355</definedName>
    <definedName name="_xlnm.Print_Area" localSheetId="7">'SO 401.I VO'!$C$4:$J$39,'SO 401.I VO'!$C$50:$J$76,'SO 401.I VO'!$C$82:$J$105,'SO 401.I VO'!$C$111:$K$213</definedName>
    <definedName name="_xlnm.Print_Area" localSheetId="17">'SO 401.II VO'!$C$4:$J$39,'SO 401.II VO'!$C$50:$J$76,'SO 401.II VO'!$C$82:$J$105,'SO 401.II VO'!$C$111:$K$213</definedName>
    <definedName name="_xlnm.Print_Area" localSheetId="8">'SO 404.I Optika'!$C$4:$J$39,'SO 404.I Optika'!$C$50:$J$76,'SO 404.I Optika'!$C$82:$J$101,'SO 404.I Optika'!$C$107:$K$135</definedName>
    <definedName name="_xlnm.Print_Area" localSheetId="18">'SO 404.II Optika'!$C$4:$J$39,'SO 404.II Optika'!$C$50:$J$76,'SO 404.II Optika'!$C$82:$J$101,'SO 404.II Optika'!$C$107:$K$135</definedName>
    <definedName name="_xlnm.Print_Area" localSheetId="9">'SO 801.I Sad'!$C$4:$J$39,'SO 801.I Sad'!$C$50:$J$76,'SO 801.I Sad'!$C$82:$J$100,'SO 801.I Sad'!$C$106:$K$150</definedName>
    <definedName name="_xlnm.Print_Area" localSheetId="19">'SO 801.II Sad'!$C$4:$J$39,'SO 801.II Sad'!$C$50:$J$76,'SO 801.II Sad'!$C$82:$J$100,'SO 801.II Sad'!$C$106:$K$150</definedName>
    <definedName name="_xlnm.Print_Area" localSheetId="20">'VON I.+II.'!$B$3:$K$40,'VON I.+II.'!$B$44:$K$71,'VON I.+II.'!$B$75:$K$170</definedName>
  </definedNames>
  <calcPr calcId="191029" calcMode="manual" fullCalcOnLoad="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4" i="1" l="1"/>
  <c r="L85" i="1"/>
  <c r="L87" i="1"/>
  <c r="AM87" i="1"/>
  <c r="L89" i="1"/>
  <c r="AM89" i="1"/>
  <c r="L90" i="1"/>
  <c r="AM90" i="1"/>
  <c r="AS94" i="1"/>
  <c r="AX97" i="1"/>
  <c r="AU104" i="1"/>
  <c r="AV104" i="1"/>
  <c r="AT104" i="1"/>
  <c r="AW104" i="1"/>
  <c r="AX104" i="1"/>
  <c r="AY104" i="1"/>
  <c r="AZ104" i="1"/>
  <c r="BA104" i="1"/>
  <c r="BB104" i="1"/>
  <c r="BC104" i="1"/>
  <c r="BD104" i="1"/>
  <c r="AT105" i="1"/>
  <c r="AU105" i="1"/>
  <c r="AV105" i="1"/>
  <c r="AW105" i="1"/>
  <c r="AX105" i="1"/>
  <c r="AY105" i="1"/>
  <c r="AZ105" i="1"/>
  <c r="BA105" i="1"/>
  <c r="BB105" i="1"/>
  <c r="BC105" i="1"/>
  <c r="BD105" i="1"/>
  <c r="AU106" i="1"/>
  <c r="AV106" i="1"/>
  <c r="AW106" i="1"/>
  <c r="AT106" i="1"/>
  <c r="AX106" i="1"/>
  <c r="AY106" i="1"/>
  <c r="AZ106" i="1"/>
  <c r="BA106" i="1"/>
  <c r="BB106" i="1"/>
  <c r="BC106" i="1"/>
  <c r="BD106" i="1"/>
  <c r="AU107" i="1"/>
  <c r="AV107" i="1"/>
  <c r="AT107" i="1"/>
  <c r="AW107" i="1"/>
  <c r="AX107" i="1"/>
  <c r="AY107" i="1"/>
  <c r="AZ107" i="1"/>
  <c r="BA107" i="1"/>
  <c r="BB107" i="1"/>
  <c r="BC107" i="1"/>
  <c r="BD107" i="1"/>
  <c r="AU108" i="1"/>
  <c r="AV108" i="1"/>
  <c r="AT108" i="1"/>
  <c r="AW108" i="1"/>
  <c r="AX108" i="1"/>
  <c r="AY108" i="1"/>
  <c r="AZ108" i="1"/>
  <c r="BA108" i="1"/>
  <c r="BB108" i="1"/>
  <c r="BC108" i="1"/>
  <c r="BD108" i="1"/>
  <c r="AT109" i="1"/>
  <c r="AU109" i="1"/>
  <c r="AV109" i="1"/>
  <c r="AW109" i="1"/>
  <c r="AX109" i="1"/>
  <c r="AY109" i="1"/>
  <c r="AZ109" i="1"/>
  <c r="BA109" i="1"/>
  <c r="BB109" i="1"/>
  <c r="BC109" i="1"/>
  <c r="BD109" i="1"/>
  <c r="AU110" i="1"/>
  <c r="AV110" i="1"/>
  <c r="AW110" i="1"/>
  <c r="AT110" i="1"/>
  <c r="AX110" i="1"/>
  <c r="AY110" i="1"/>
  <c r="AZ110" i="1"/>
  <c r="BA110" i="1"/>
  <c r="BB110" i="1"/>
  <c r="BC110" i="1"/>
  <c r="BD110" i="1"/>
  <c r="AU111" i="1"/>
  <c r="AV111" i="1"/>
  <c r="AT111" i="1"/>
  <c r="AW111" i="1"/>
  <c r="AX111" i="1"/>
  <c r="AY111" i="1"/>
  <c r="AZ111" i="1"/>
  <c r="BA111" i="1"/>
  <c r="BB111" i="1"/>
  <c r="BC111" i="1"/>
  <c r="BD111" i="1"/>
  <c r="AU112" i="1"/>
  <c r="AV112" i="1"/>
  <c r="AT112" i="1"/>
  <c r="AW112" i="1"/>
  <c r="AX112" i="1"/>
  <c r="AY112" i="1"/>
  <c r="AZ112" i="1"/>
  <c r="BA112" i="1"/>
  <c r="BB112" i="1"/>
  <c r="BC112" i="1"/>
  <c r="BD112" i="1"/>
  <c r="AT113" i="1"/>
  <c r="AU113" i="1"/>
  <c r="AV113" i="1"/>
  <c r="AW113" i="1"/>
  <c r="AX113" i="1"/>
  <c r="AY113" i="1"/>
  <c r="AZ113" i="1"/>
  <c r="BA113" i="1"/>
  <c r="BB113" i="1"/>
  <c r="BC113" i="1"/>
  <c r="BD113" i="1"/>
  <c r="J12" i="2"/>
  <c r="J89" i="2"/>
  <c r="J17" i="2"/>
  <c r="E18" i="2"/>
  <c r="F92" i="2"/>
  <c r="J18" i="2"/>
  <c r="J35" i="2"/>
  <c r="AX95" i="1"/>
  <c r="J36" i="2"/>
  <c r="AY95" i="1"/>
  <c r="J37" i="2"/>
  <c r="E85" i="2"/>
  <c r="E87" i="2"/>
  <c r="F89" i="2"/>
  <c r="F91" i="2"/>
  <c r="J91" i="2"/>
  <c r="J92" i="2"/>
  <c r="E114" i="2"/>
  <c r="E116" i="2"/>
  <c r="F118" i="2"/>
  <c r="J118" i="2"/>
  <c r="F120" i="2"/>
  <c r="J120" i="2"/>
  <c r="J121" i="2"/>
  <c r="P126" i="2"/>
  <c r="J127" i="2"/>
  <c r="P127" i="2"/>
  <c r="R127" i="2"/>
  <c r="T127" i="2"/>
  <c r="T126" i="2"/>
  <c r="BE127" i="2"/>
  <c r="BF127" i="2"/>
  <c r="BG127" i="2"/>
  <c r="BH127" i="2"/>
  <c r="F36" i="2"/>
  <c r="BC95" i="1"/>
  <c r="BI127" i="2"/>
  <c r="BK127" i="2"/>
  <c r="BK126" i="2"/>
  <c r="J130" i="2"/>
  <c r="BE130" i="2"/>
  <c r="P130" i="2"/>
  <c r="R130" i="2"/>
  <c r="T130" i="2"/>
  <c r="BF130" i="2"/>
  <c r="BG130" i="2"/>
  <c r="BH130" i="2"/>
  <c r="BI130" i="2"/>
  <c r="BK130" i="2"/>
  <c r="J133" i="2"/>
  <c r="BE133" i="2"/>
  <c r="P133" i="2"/>
  <c r="R133" i="2"/>
  <c r="T133" i="2"/>
  <c r="BF133" i="2"/>
  <c r="BG133" i="2"/>
  <c r="BH133" i="2"/>
  <c r="BI133" i="2"/>
  <c r="BK133" i="2"/>
  <c r="J136" i="2"/>
  <c r="P136" i="2"/>
  <c r="R136" i="2"/>
  <c r="T136" i="2"/>
  <c r="BE136" i="2"/>
  <c r="BF136" i="2"/>
  <c r="BG136" i="2"/>
  <c r="BH136" i="2"/>
  <c r="BI136" i="2"/>
  <c r="BK136" i="2"/>
  <c r="J139" i="2"/>
  <c r="P139" i="2"/>
  <c r="R139" i="2"/>
  <c r="T139" i="2"/>
  <c r="BE139" i="2"/>
  <c r="BF139" i="2"/>
  <c r="BG139" i="2"/>
  <c r="BH139" i="2"/>
  <c r="BI139" i="2"/>
  <c r="BK139" i="2"/>
  <c r="J142" i="2"/>
  <c r="BE142" i="2"/>
  <c r="P142" i="2"/>
  <c r="R142" i="2"/>
  <c r="T142" i="2"/>
  <c r="BF142" i="2"/>
  <c r="BG142" i="2"/>
  <c r="BH142" i="2"/>
  <c r="BI142" i="2"/>
  <c r="BK142" i="2"/>
  <c r="J149" i="2"/>
  <c r="BE149" i="2"/>
  <c r="P149" i="2"/>
  <c r="R149" i="2"/>
  <c r="T149" i="2"/>
  <c r="BF149" i="2"/>
  <c r="BG149" i="2"/>
  <c r="BH149" i="2"/>
  <c r="BI149" i="2"/>
  <c r="BK149" i="2"/>
  <c r="J153" i="2"/>
  <c r="P153" i="2"/>
  <c r="R153" i="2"/>
  <c r="T153" i="2"/>
  <c r="BE153" i="2"/>
  <c r="BF153" i="2"/>
  <c r="BG153" i="2"/>
  <c r="BH153" i="2"/>
  <c r="BI153" i="2"/>
  <c r="BK153" i="2"/>
  <c r="J157" i="2"/>
  <c r="P157" i="2"/>
  <c r="R157" i="2"/>
  <c r="T157" i="2"/>
  <c r="BE157" i="2"/>
  <c r="BF157" i="2"/>
  <c r="BG157" i="2"/>
  <c r="BH157" i="2"/>
  <c r="BI157" i="2"/>
  <c r="BK157" i="2"/>
  <c r="J160" i="2"/>
  <c r="BE160" i="2"/>
  <c r="P160" i="2"/>
  <c r="R160" i="2"/>
  <c r="T160" i="2"/>
  <c r="BF160" i="2"/>
  <c r="BG160" i="2"/>
  <c r="BH160" i="2"/>
  <c r="BI160" i="2"/>
  <c r="BK160" i="2"/>
  <c r="J162" i="2"/>
  <c r="BE162" i="2"/>
  <c r="P162" i="2"/>
  <c r="R162" i="2"/>
  <c r="T162" i="2"/>
  <c r="BF162" i="2"/>
  <c r="BG162" i="2"/>
  <c r="BH162" i="2"/>
  <c r="BI162" i="2"/>
  <c r="BK162" i="2"/>
  <c r="R165" i="2"/>
  <c r="J166" i="2"/>
  <c r="P166" i="2"/>
  <c r="P165" i="2"/>
  <c r="R166" i="2"/>
  <c r="T166" i="2"/>
  <c r="BE166" i="2"/>
  <c r="BF166" i="2"/>
  <c r="BG166" i="2"/>
  <c r="BH166" i="2"/>
  <c r="BI166" i="2"/>
  <c r="BK166" i="2"/>
  <c r="BK165" i="2"/>
  <c r="J165" i="2"/>
  <c r="J99" i="2"/>
  <c r="J170" i="2"/>
  <c r="BE170" i="2"/>
  <c r="P170" i="2"/>
  <c r="R170" i="2"/>
  <c r="T170" i="2"/>
  <c r="BF170" i="2"/>
  <c r="BG170" i="2"/>
  <c r="BH170" i="2"/>
  <c r="BI170" i="2"/>
  <c r="BK170" i="2"/>
  <c r="J172" i="2"/>
  <c r="P172" i="2"/>
  <c r="R172" i="2"/>
  <c r="T172" i="2"/>
  <c r="BE172" i="2"/>
  <c r="BF172" i="2"/>
  <c r="BG172" i="2"/>
  <c r="BH172" i="2"/>
  <c r="BI172" i="2"/>
  <c r="BK172" i="2"/>
  <c r="J176" i="2"/>
  <c r="P176" i="2"/>
  <c r="R176" i="2"/>
  <c r="T176" i="2"/>
  <c r="BE176" i="2"/>
  <c r="BF176" i="2"/>
  <c r="BG176" i="2"/>
  <c r="BH176" i="2"/>
  <c r="BI176" i="2"/>
  <c r="BK176" i="2"/>
  <c r="J179" i="2"/>
  <c r="P179" i="2"/>
  <c r="R179" i="2"/>
  <c r="T179" i="2"/>
  <c r="BE179" i="2"/>
  <c r="BF179" i="2"/>
  <c r="BG179" i="2"/>
  <c r="BH179" i="2"/>
  <c r="BI179" i="2"/>
  <c r="BK179" i="2"/>
  <c r="J182" i="2"/>
  <c r="BE182" i="2"/>
  <c r="P182" i="2"/>
  <c r="R182" i="2"/>
  <c r="T182" i="2"/>
  <c r="BF182" i="2"/>
  <c r="BG182" i="2"/>
  <c r="BH182" i="2"/>
  <c r="BI182" i="2"/>
  <c r="BK182" i="2"/>
  <c r="J185" i="2"/>
  <c r="P185" i="2"/>
  <c r="R185" i="2"/>
  <c r="T185" i="2"/>
  <c r="BE185" i="2"/>
  <c r="BF185" i="2"/>
  <c r="BG185" i="2"/>
  <c r="BH185" i="2"/>
  <c r="BI185" i="2"/>
  <c r="BK185" i="2"/>
  <c r="T187" i="2"/>
  <c r="J188" i="2"/>
  <c r="P188" i="2"/>
  <c r="R188" i="2"/>
  <c r="T188" i="2"/>
  <c r="BE188" i="2"/>
  <c r="BF188" i="2"/>
  <c r="BG188" i="2"/>
  <c r="BH188" i="2"/>
  <c r="BI188" i="2"/>
  <c r="BK188" i="2"/>
  <c r="J191" i="2"/>
  <c r="P191" i="2"/>
  <c r="R191" i="2"/>
  <c r="T191" i="2"/>
  <c r="BE191" i="2"/>
  <c r="BF191" i="2"/>
  <c r="BG191" i="2"/>
  <c r="BH191" i="2"/>
  <c r="BI191" i="2"/>
  <c r="BK191" i="2"/>
  <c r="J194" i="2"/>
  <c r="BE194" i="2"/>
  <c r="P194" i="2"/>
  <c r="R194" i="2"/>
  <c r="T194" i="2"/>
  <c r="BF194" i="2"/>
  <c r="BG194" i="2"/>
  <c r="BH194" i="2"/>
  <c r="BI194" i="2"/>
  <c r="BK194" i="2"/>
  <c r="J197" i="2"/>
  <c r="BE197" i="2"/>
  <c r="P197" i="2"/>
  <c r="P187" i="2"/>
  <c r="R197" i="2"/>
  <c r="T197" i="2"/>
  <c r="BF197" i="2"/>
  <c r="BG197" i="2"/>
  <c r="BH197" i="2"/>
  <c r="BI197" i="2"/>
  <c r="BK197" i="2"/>
  <c r="BK187" i="2"/>
  <c r="J187" i="2"/>
  <c r="J100" i="2"/>
  <c r="J200" i="2"/>
  <c r="P200" i="2"/>
  <c r="R200" i="2"/>
  <c r="T200" i="2"/>
  <c r="BE200" i="2"/>
  <c r="BF200" i="2"/>
  <c r="BG200" i="2"/>
  <c r="BH200" i="2"/>
  <c r="BI200" i="2"/>
  <c r="BK200" i="2"/>
  <c r="J203" i="2"/>
  <c r="P203" i="2"/>
  <c r="R203" i="2"/>
  <c r="T203" i="2"/>
  <c r="BE203" i="2"/>
  <c r="BF203" i="2"/>
  <c r="BG203" i="2"/>
  <c r="BH203" i="2"/>
  <c r="BI203" i="2"/>
  <c r="BK203" i="2"/>
  <c r="J206" i="2"/>
  <c r="BE206" i="2"/>
  <c r="P206" i="2"/>
  <c r="R206" i="2"/>
  <c r="T206" i="2"/>
  <c r="BF206" i="2"/>
  <c r="BG206" i="2"/>
  <c r="BH206" i="2"/>
  <c r="BI206" i="2"/>
  <c r="BK206" i="2"/>
  <c r="J209" i="2"/>
  <c r="BE209" i="2"/>
  <c r="P209" i="2"/>
  <c r="R209" i="2"/>
  <c r="T209" i="2"/>
  <c r="BF209" i="2"/>
  <c r="BG209" i="2"/>
  <c r="BH209" i="2"/>
  <c r="BI209" i="2"/>
  <c r="BK209" i="2"/>
  <c r="J214" i="2"/>
  <c r="P214" i="2"/>
  <c r="R214" i="2"/>
  <c r="T214" i="2"/>
  <c r="BE214" i="2"/>
  <c r="BF214" i="2"/>
  <c r="BG214" i="2"/>
  <c r="BH214" i="2"/>
  <c r="BI214" i="2"/>
  <c r="BK214" i="2"/>
  <c r="R217" i="2"/>
  <c r="BK217" i="2"/>
  <c r="J217" i="2"/>
  <c r="J101" i="2"/>
  <c r="J218" i="2"/>
  <c r="BE218" i="2"/>
  <c r="P218" i="2"/>
  <c r="P217" i="2"/>
  <c r="R218" i="2"/>
  <c r="T218" i="2"/>
  <c r="T217" i="2"/>
  <c r="BF218" i="2"/>
  <c r="BG218" i="2"/>
  <c r="BH218" i="2"/>
  <c r="BI218" i="2"/>
  <c r="BK218" i="2"/>
  <c r="J224" i="2"/>
  <c r="P224" i="2"/>
  <c r="R224" i="2"/>
  <c r="T224" i="2"/>
  <c r="BE224" i="2"/>
  <c r="BF224" i="2"/>
  <c r="BG224" i="2"/>
  <c r="BH224" i="2"/>
  <c r="BI224" i="2"/>
  <c r="BK224" i="2"/>
  <c r="P227" i="2"/>
  <c r="T227" i="2"/>
  <c r="BK227" i="2"/>
  <c r="J227" i="2"/>
  <c r="J102" i="2"/>
  <c r="J228" i="2"/>
  <c r="P228" i="2"/>
  <c r="R228" i="2"/>
  <c r="R227" i="2"/>
  <c r="T228" i="2"/>
  <c r="BE228" i="2"/>
  <c r="BF228" i="2"/>
  <c r="BG228" i="2"/>
  <c r="BH228" i="2"/>
  <c r="BI228" i="2"/>
  <c r="BK228" i="2"/>
  <c r="T231" i="2"/>
  <c r="T230" i="2"/>
  <c r="J232" i="2"/>
  <c r="BE232" i="2"/>
  <c r="P232" i="2"/>
  <c r="R232" i="2"/>
  <c r="R231" i="2"/>
  <c r="R230" i="2"/>
  <c r="T232" i="2"/>
  <c r="BF232" i="2"/>
  <c r="BG232" i="2"/>
  <c r="BH232" i="2"/>
  <c r="BI232" i="2"/>
  <c r="BK232" i="2"/>
  <c r="BK231" i="2"/>
  <c r="J231" i="2"/>
  <c r="J104" i="2"/>
  <c r="J236" i="2"/>
  <c r="BE236" i="2"/>
  <c r="P236" i="2"/>
  <c r="P231" i="2"/>
  <c r="P230" i="2"/>
  <c r="R236" i="2"/>
  <c r="T236" i="2"/>
  <c r="BF236" i="2"/>
  <c r="BG236" i="2"/>
  <c r="BH236" i="2"/>
  <c r="BI236" i="2"/>
  <c r="BK236" i="2"/>
  <c r="J12" i="3"/>
  <c r="J89" i="3"/>
  <c r="J17" i="3"/>
  <c r="E18" i="3"/>
  <c r="F119" i="3"/>
  <c r="J18" i="3"/>
  <c r="J35" i="3"/>
  <c r="AX96" i="1"/>
  <c r="J36" i="3"/>
  <c r="AY96" i="1"/>
  <c r="J37" i="3"/>
  <c r="E85" i="3"/>
  <c r="E87" i="3"/>
  <c r="F89" i="3"/>
  <c r="F91" i="3"/>
  <c r="J91" i="3"/>
  <c r="F92" i="3"/>
  <c r="J92" i="3"/>
  <c r="E112" i="3"/>
  <c r="E114" i="3"/>
  <c r="F116" i="3"/>
  <c r="J116" i="3"/>
  <c r="F118" i="3"/>
  <c r="J118" i="3"/>
  <c r="J119" i="3"/>
  <c r="P124" i="3"/>
  <c r="J125" i="3"/>
  <c r="BE125" i="3"/>
  <c r="J33" i="3"/>
  <c r="AV96" i="1"/>
  <c r="P125" i="3"/>
  <c r="R125" i="3"/>
  <c r="T125" i="3"/>
  <c r="BF125" i="3"/>
  <c r="BG125" i="3"/>
  <c r="BH125" i="3"/>
  <c r="BI125" i="3"/>
  <c r="F37" i="3"/>
  <c r="BD96" i="1"/>
  <c r="BK125" i="3"/>
  <c r="BK124" i="3"/>
  <c r="J128" i="3"/>
  <c r="P128" i="3"/>
  <c r="R128" i="3"/>
  <c r="T128" i="3"/>
  <c r="BE128" i="3"/>
  <c r="BF128" i="3"/>
  <c r="BG128" i="3"/>
  <c r="BH128" i="3"/>
  <c r="BI128" i="3"/>
  <c r="BK128" i="3"/>
  <c r="J131" i="3"/>
  <c r="P131" i="3"/>
  <c r="R131" i="3"/>
  <c r="T131" i="3"/>
  <c r="BE131" i="3"/>
  <c r="BF131" i="3"/>
  <c r="BG131" i="3"/>
  <c r="BH131" i="3"/>
  <c r="BI131" i="3"/>
  <c r="BK131" i="3"/>
  <c r="J135" i="3"/>
  <c r="BE135" i="3"/>
  <c r="P135" i="3"/>
  <c r="R135" i="3"/>
  <c r="T135" i="3"/>
  <c r="T124" i="3"/>
  <c r="BF135" i="3"/>
  <c r="BG135" i="3"/>
  <c r="BH135" i="3"/>
  <c r="BI135" i="3"/>
  <c r="BK135" i="3"/>
  <c r="J138" i="3"/>
  <c r="BE138" i="3"/>
  <c r="P138" i="3"/>
  <c r="R138" i="3"/>
  <c r="T138" i="3"/>
  <c r="BF138" i="3"/>
  <c r="BG138" i="3"/>
  <c r="BH138" i="3"/>
  <c r="BI138" i="3"/>
  <c r="BK138" i="3"/>
  <c r="J143" i="3"/>
  <c r="P143" i="3"/>
  <c r="R143" i="3"/>
  <c r="T143" i="3"/>
  <c r="BE143" i="3"/>
  <c r="BF143" i="3"/>
  <c r="BG143" i="3"/>
  <c r="BH143" i="3"/>
  <c r="BI143" i="3"/>
  <c r="BK143" i="3"/>
  <c r="J146" i="3"/>
  <c r="P146" i="3"/>
  <c r="R146" i="3"/>
  <c r="T146" i="3"/>
  <c r="BE146" i="3"/>
  <c r="BF146" i="3"/>
  <c r="BG146" i="3"/>
  <c r="BH146" i="3"/>
  <c r="BI146" i="3"/>
  <c r="BK146" i="3"/>
  <c r="R148" i="3"/>
  <c r="J149" i="3"/>
  <c r="P149" i="3"/>
  <c r="R149" i="3"/>
  <c r="T149" i="3"/>
  <c r="BE149" i="3"/>
  <c r="BF149" i="3"/>
  <c r="BG149" i="3"/>
  <c r="BH149" i="3"/>
  <c r="BI149" i="3"/>
  <c r="BK149" i="3"/>
  <c r="BK148" i="3"/>
  <c r="J148" i="3"/>
  <c r="J99" i="3"/>
  <c r="J152" i="3"/>
  <c r="P152" i="3"/>
  <c r="R152" i="3"/>
  <c r="T152" i="3"/>
  <c r="BE152" i="3"/>
  <c r="BF152" i="3"/>
  <c r="BG152" i="3"/>
  <c r="BH152" i="3"/>
  <c r="BI152" i="3"/>
  <c r="BK152" i="3"/>
  <c r="J155" i="3"/>
  <c r="BE155" i="3"/>
  <c r="P155" i="3"/>
  <c r="R155" i="3"/>
  <c r="T155" i="3"/>
  <c r="BF155" i="3"/>
  <c r="BG155" i="3"/>
  <c r="BH155" i="3"/>
  <c r="BI155" i="3"/>
  <c r="BK155" i="3"/>
  <c r="J158" i="3"/>
  <c r="BE158" i="3"/>
  <c r="P158" i="3"/>
  <c r="R158" i="3"/>
  <c r="T158" i="3"/>
  <c r="BF158" i="3"/>
  <c r="BG158" i="3"/>
  <c r="BH158" i="3"/>
  <c r="BI158" i="3"/>
  <c r="BK158" i="3"/>
  <c r="J160" i="3"/>
  <c r="P160" i="3"/>
  <c r="R160" i="3"/>
  <c r="T160" i="3"/>
  <c r="BE160" i="3"/>
  <c r="BF160" i="3"/>
  <c r="BG160" i="3"/>
  <c r="BH160" i="3"/>
  <c r="BI160" i="3"/>
  <c r="BK160" i="3"/>
  <c r="J162" i="3"/>
  <c r="P162" i="3"/>
  <c r="R162" i="3"/>
  <c r="T162" i="3"/>
  <c r="BE162" i="3"/>
  <c r="BF162" i="3"/>
  <c r="BG162" i="3"/>
  <c r="BH162" i="3"/>
  <c r="BI162" i="3"/>
  <c r="BK162" i="3"/>
  <c r="J164" i="3"/>
  <c r="BE164" i="3"/>
  <c r="P164" i="3"/>
  <c r="R164" i="3"/>
  <c r="T164" i="3"/>
  <c r="BF164" i="3"/>
  <c r="BG164" i="3"/>
  <c r="BH164" i="3"/>
  <c r="BI164" i="3"/>
  <c r="BK164" i="3"/>
  <c r="T167" i="3"/>
  <c r="J168" i="3"/>
  <c r="BE168" i="3"/>
  <c r="P168" i="3"/>
  <c r="R168" i="3"/>
  <c r="T168" i="3"/>
  <c r="BF168" i="3"/>
  <c r="BG168" i="3"/>
  <c r="BH168" i="3"/>
  <c r="BI168" i="3"/>
  <c r="BK168" i="3"/>
  <c r="BK167" i="3"/>
  <c r="J167" i="3"/>
  <c r="J100" i="3"/>
  <c r="J171" i="3"/>
  <c r="BE171" i="3"/>
  <c r="P171" i="3"/>
  <c r="P167" i="3"/>
  <c r="R171" i="3"/>
  <c r="T171" i="3"/>
  <c r="BF171" i="3"/>
  <c r="BG171" i="3"/>
  <c r="BH171" i="3"/>
  <c r="BI171" i="3"/>
  <c r="BK171" i="3"/>
  <c r="J173" i="3"/>
  <c r="P173" i="3"/>
  <c r="R173" i="3"/>
  <c r="T173" i="3"/>
  <c r="BE173" i="3"/>
  <c r="BF173" i="3"/>
  <c r="BG173" i="3"/>
  <c r="BH173" i="3"/>
  <c r="BI173" i="3"/>
  <c r="BK173" i="3"/>
  <c r="J176" i="3"/>
  <c r="P176" i="3"/>
  <c r="R176" i="3"/>
  <c r="T176" i="3"/>
  <c r="BE176" i="3"/>
  <c r="BF176" i="3"/>
  <c r="BG176" i="3"/>
  <c r="BH176" i="3"/>
  <c r="BI176" i="3"/>
  <c r="BK176" i="3"/>
  <c r="J179" i="3"/>
  <c r="BE179" i="3"/>
  <c r="P179" i="3"/>
  <c r="R179" i="3"/>
  <c r="T179" i="3"/>
  <c r="BF179" i="3"/>
  <c r="BG179" i="3"/>
  <c r="BH179" i="3"/>
  <c r="BI179" i="3"/>
  <c r="BK179" i="3"/>
  <c r="J182" i="3"/>
  <c r="BE182" i="3"/>
  <c r="P182" i="3"/>
  <c r="R182" i="3"/>
  <c r="T182" i="3"/>
  <c r="BF182" i="3"/>
  <c r="BG182" i="3"/>
  <c r="BH182" i="3"/>
  <c r="BI182" i="3"/>
  <c r="BK182" i="3"/>
  <c r="J185" i="3"/>
  <c r="P185" i="3"/>
  <c r="R185" i="3"/>
  <c r="T185" i="3"/>
  <c r="BE185" i="3"/>
  <c r="BF185" i="3"/>
  <c r="BG185" i="3"/>
  <c r="BH185" i="3"/>
  <c r="BI185" i="3"/>
  <c r="BK185" i="3"/>
  <c r="J187" i="3"/>
  <c r="P187" i="3"/>
  <c r="R187" i="3"/>
  <c r="T187" i="3"/>
  <c r="BE187" i="3"/>
  <c r="BF187" i="3"/>
  <c r="BG187" i="3"/>
  <c r="BH187" i="3"/>
  <c r="BI187" i="3"/>
  <c r="BK187" i="3"/>
  <c r="R189" i="3"/>
  <c r="J190" i="3"/>
  <c r="P190" i="3"/>
  <c r="P189" i="3"/>
  <c r="R190" i="3"/>
  <c r="T190" i="3"/>
  <c r="BE190" i="3"/>
  <c r="BF190" i="3"/>
  <c r="BG190" i="3"/>
  <c r="BH190" i="3"/>
  <c r="BI190" i="3"/>
  <c r="BK190" i="3"/>
  <c r="BK189" i="3"/>
  <c r="J189" i="3"/>
  <c r="J101" i="3"/>
  <c r="J195" i="3"/>
  <c r="P195" i="3"/>
  <c r="R195" i="3"/>
  <c r="T195" i="3"/>
  <c r="T189" i="3"/>
  <c r="BE195" i="3"/>
  <c r="BF195" i="3"/>
  <c r="BG195" i="3"/>
  <c r="BH195" i="3"/>
  <c r="BI195" i="3"/>
  <c r="BK195" i="3"/>
  <c r="P198" i="3"/>
  <c r="R198" i="3"/>
  <c r="T198" i="3"/>
  <c r="J199" i="3"/>
  <c r="P199" i="3"/>
  <c r="R199" i="3"/>
  <c r="T199" i="3"/>
  <c r="BE199" i="3"/>
  <c r="BF199" i="3"/>
  <c r="BG199" i="3"/>
  <c r="BH199" i="3"/>
  <c r="BI199" i="3"/>
  <c r="BK199" i="3"/>
  <c r="BK198" i="3"/>
  <c r="J198" i="3"/>
  <c r="J102" i="3"/>
  <c r="J12" i="4"/>
  <c r="J17" i="4"/>
  <c r="E18" i="4"/>
  <c r="J18" i="4"/>
  <c r="J35" i="4"/>
  <c r="J36" i="4"/>
  <c r="AY97" i="1"/>
  <c r="J37" i="4"/>
  <c r="E85" i="4"/>
  <c r="E87" i="4"/>
  <c r="F89" i="4"/>
  <c r="J89" i="4"/>
  <c r="F91" i="4"/>
  <c r="J91" i="4"/>
  <c r="J92" i="4"/>
  <c r="E112" i="4"/>
  <c r="E114" i="4"/>
  <c r="F116" i="4"/>
  <c r="J116" i="4"/>
  <c r="F118" i="4"/>
  <c r="J118" i="4"/>
  <c r="J119" i="4"/>
  <c r="P124" i="4"/>
  <c r="J125" i="4"/>
  <c r="P125" i="4"/>
  <c r="R125" i="4"/>
  <c r="T125" i="4"/>
  <c r="BE125" i="4"/>
  <c r="BF125" i="4"/>
  <c r="BG125" i="4"/>
  <c r="BH125" i="4"/>
  <c r="BI125" i="4"/>
  <c r="BK125" i="4"/>
  <c r="BK124" i="4"/>
  <c r="J132" i="4"/>
  <c r="P132" i="4"/>
  <c r="R132" i="4"/>
  <c r="R124" i="4"/>
  <c r="T132" i="4"/>
  <c r="T124" i="4"/>
  <c r="BE132" i="4"/>
  <c r="BF132" i="4"/>
  <c r="BG132" i="4"/>
  <c r="BH132" i="4"/>
  <c r="BI132" i="4"/>
  <c r="BK132" i="4"/>
  <c r="J139" i="4"/>
  <c r="BE139" i="4"/>
  <c r="P139" i="4"/>
  <c r="R139" i="4"/>
  <c r="T139" i="4"/>
  <c r="BF139" i="4"/>
  <c r="BG139" i="4"/>
  <c r="BH139" i="4"/>
  <c r="BI139" i="4"/>
  <c r="BK139" i="4"/>
  <c r="J146" i="4"/>
  <c r="BE146" i="4"/>
  <c r="P146" i="4"/>
  <c r="R146" i="4"/>
  <c r="T146" i="4"/>
  <c r="BF146" i="4"/>
  <c r="BG146" i="4"/>
  <c r="BH146" i="4"/>
  <c r="BI146" i="4"/>
  <c r="BK146" i="4"/>
  <c r="J149" i="4"/>
  <c r="P149" i="4"/>
  <c r="R149" i="4"/>
  <c r="T149" i="4"/>
  <c r="BE149" i="4"/>
  <c r="BF149" i="4"/>
  <c r="BG149" i="4"/>
  <c r="BH149" i="4"/>
  <c r="BI149" i="4"/>
  <c r="BK149" i="4"/>
  <c r="R151" i="4"/>
  <c r="J152" i="4"/>
  <c r="P152" i="4"/>
  <c r="R152" i="4"/>
  <c r="T152" i="4"/>
  <c r="BE152" i="4"/>
  <c r="BF152" i="4"/>
  <c r="BG152" i="4"/>
  <c r="BH152" i="4"/>
  <c r="BI152" i="4"/>
  <c r="BK152" i="4"/>
  <c r="BK151" i="4"/>
  <c r="J151" i="4"/>
  <c r="J99" i="4"/>
  <c r="J155" i="4"/>
  <c r="P155" i="4"/>
  <c r="R155" i="4"/>
  <c r="T155" i="4"/>
  <c r="T151" i="4"/>
  <c r="BE155" i="4"/>
  <c r="BF155" i="4"/>
  <c r="BG155" i="4"/>
  <c r="BH155" i="4"/>
  <c r="BI155" i="4"/>
  <c r="BK155" i="4"/>
  <c r="J158" i="4"/>
  <c r="BE158" i="4"/>
  <c r="P158" i="4"/>
  <c r="R158" i="4"/>
  <c r="T158" i="4"/>
  <c r="BF158" i="4"/>
  <c r="BG158" i="4"/>
  <c r="BH158" i="4"/>
  <c r="BI158" i="4"/>
  <c r="BK158" i="4"/>
  <c r="J161" i="4"/>
  <c r="BE161" i="4"/>
  <c r="P161" i="4"/>
  <c r="R161" i="4"/>
  <c r="T161" i="4"/>
  <c r="BF161" i="4"/>
  <c r="BG161" i="4"/>
  <c r="BH161" i="4"/>
  <c r="BI161" i="4"/>
  <c r="BK161" i="4"/>
  <c r="J163" i="4"/>
  <c r="P163" i="4"/>
  <c r="R163" i="4"/>
  <c r="T163" i="4"/>
  <c r="BE163" i="4"/>
  <c r="BF163" i="4"/>
  <c r="BG163" i="4"/>
  <c r="BH163" i="4"/>
  <c r="BI163" i="4"/>
  <c r="BK163" i="4"/>
  <c r="J165" i="4"/>
  <c r="P165" i="4"/>
  <c r="R165" i="4"/>
  <c r="T165" i="4"/>
  <c r="BE165" i="4"/>
  <c r="BF165" i="4"/>
  <c r="BG165" i="4"/>
  <c r="BH165" i="4"/>
  <c r="BI165" i="4"/>
  <c r="BK165" i="4"/>
  <c r="J170" i="4"/>
  <c r="BE170" i="4"/>
  <c r="P170" i="4"/>
  <c r="R170" i="4"/>
  <c r="T170" i="4"/>
  <c r="BF170" i="4"/>
  <c r="BG170" i="4"/>
  <c r="BH170" i="4"/>
  <c r="BI170" i="4"/>
  <c r="BK170" i="4"/>
  <c r="J176" i="4"/>
  <c r="BE176" i="4"/>
  <c r="P176" i="4"/>
  <c r="R176" i="4"/>
  <c r="T176" i="4"/>
  <c r="BF176" i="4"/>
  <c r="BG176" i="4"/>
  <c r="BH176" i="4"/>
  <c r="BI176" i="4"/>
  <c r="BK176" i="4"/>
  <c r="J179" i="4"/>
  <c r="P179" i="4"/>
  <c r="R179" i="4"/>
  <c r="T179" i="4"/>
  <c r="BE179" i="4"/>
  <c r="BF179" i="4"/>
  <c r="BG179" i="4"/>
  <c r="BH179" i="4"/>
  <c r="BI179" i="4"/>
  <c r="BK179" i="4"/>
  <c r="J182" i="4"/>
  <c r="P182" i="4"/>
  <c r="R182" i="4"/>
  <c r="T182" i="4"/>
  <c r="BE182" i="4"/>
  <c r="BF182" i="4"/>
  <c r="BG182" i="4"/>
  <c r="BH182" i="4"/>
  <c r="BI182" i="4"/>
  <c r="BK182" i="4"/>
  <c r="P184" i="4"/>
  <c r="J185" i="4"/>
  <c r="P185" i="4"/>
  <c r="R185" i="4"/>
  <c r="T185" i="4"/>
  <c r="BE185" i="4"/>
  <c r="BF185" i="4"/>
  <c r="BG185" i="4"/>
  <c r="BH185" i="4"/>
  <c r="BI185" i="4"/>
  <c r="BK185" i="4"/>
  <c r="BK184" i="4"/>
  <c r="J184" i="4"/>
  <c r="J100" i="4"/>
  <c r="J190" i="4"/>
  <c r="P190" i="4"/>
  <c r="R190" i="4"/>
  <c r="T190" i="4"/>
  <c r="T184" i="4"/>
  <c r="BE190" i="4"/>
  <c r="BF190" i="4"/>
  <c r="BG190" i="4"/>
  <c r="BH190" i="4"/>
  <c r="BI190" i="4"/>
  <c r="BK190" i="4"/>
  <c r="J194" i="4"/>
  <c r="BE194" i="4"/>
  <c r="P194" i="4"/>
  <c r="R194" i="4"/>
  <c r="T194" i="4"/>
  <c r="BF194" i="4"/>
  <c r="BG194" i="4"/>
  <c r="BH194" i="4"/>
  <c r="BI194" i="4"/>
  <c r="BK194" i="4"/>
  <c r="J197" i="4"/>
  <c r="BE197" i="4"/>
  <c r="P197" i="4"/>
  <c r="R197" i="4"/>
  <c r="T197" i="4"/>
  <c r="BF197" i="4"/>
  <c r="BG197" i="4"/>
  <c r="BH197" i="4"/>
  <c r="BI197" i="4"/>
  <c r="BK197" i="4"/>
  <c r="J198" i="4"/>
  <c r="P198" i="4"/>
  <c r="R198" i="4"/>
  <c r="T198" i="4"/>
  <c r="BE198" i="4"/>
  <c r="BF198" i="4"/>
  <c r="BG198" i="4"/>
  <c r="BH198" i="4"/>
  <c r="BI198" i="4"/>
  <c r="BK198" i="4"/>
  <c r="J199" i="4"/>
  <c r="P199" i="4"/>
  <c r="R199" i="4"/>
  <c r="T199" i="4"/>
  <c r="BE199" i="4"/>
  <c r="BF199" i="4"/>
  <c r="BG199" i="4"/>
  <c r="BH199" i="4"/>
  <c r="BI199" i="4"/>
  <c r="BK199" i="4"/>
  <c r="J202" i="4"/>
  <c r="BE202" i="4"/>
  <c r="P202" i="4"/>
  <c r="R202" i="4"/>
  <c r="T202" i="4"/>
  <c r="BF202" i="4"/>
  <c r="BG202" i="4"/>
  <c r="BH202" i="4"/>
  <c r="BI202" i="4"/>
  <c r="BK202" i="4"/>
  <c r="J205" i="4"/>
  <c r="BE205" i="4"/>
  <c r="P205" i="4"/>
  <c r="R205" i="4"/>
  <c r="T205" i="4"/>
  <c r="BF205" i="4"/>
  <c r="BG205" i="4"/>
  <c r="BH205" i="4"/>
  <c r="BI205" i="4"/>
  <c r="BK205" i="4"/>
  <c r="J207" i="4"/>
  <c r="P207" i="4"/>
  <c r="R207" i="4"/>
  <c r="T207" i="4"/>
  <c r="BE207" i="4"/>
  <c r="BF207" i="4"/>
  <c r="BG207" i="4"/>
  <c r="BH207" i="4"/>
  <c r="BI207" i="4"/>
  <c r="BK207" i="4"/>
  <c r="J209" i="4"/>
  <c r="P209" i="4"/>
  <c r="R209" i="4"/>
  <c r="T209" i="4"/>
  <c r="BE209" i="4"/>
  <c r="BF209" i="4"/>
  <c r="BG209" i="4"/>
  <c r="BH209" i="4"/>
  <c r="BI209" i="4"/>
  <c r="BK209" i="4"/>
  <c r="J212" i="4"/>
  <c r="BE212" i="4"/>
  <c r="P212" i="4"/>
  <c r="R212" i="4"/>
  <c r="T212" i="4"/>
  <c r="BF212" i="4"/>
  <c r="BG212" i="4"/>
  <c r="BH212" i="4"/>
  <c r="BI212" i="4"/>
  <c r="BK212" i="4"/>
  <c r="J217" i="4"/>
  <c r="BE217" i="4"/>
  <c r="P217" i="4"/>
  <c r="R217" i="4"/>
  <c r="T217" i="4"/>
  <c r="BF217" i="4"/>
  <c r="BG217" i="4"/>
  <c r="BH217" i="4"/>
  <c r="BI217" i="4"/>
  <c r="BK217" i="4"/>
  <c r="J224" i="4"/>
  <c r="P224" i="4"/>
  <c r="R224" i="4"/>
  <c r="T224" i="4"/>
  <c r="BE224" i="4"/>
  <c r="BF224" i="4"/>
  <c r="BG224" i="4"/>
  <c r="BH224" i="4"/>
  <c r="BI224" i="4"/>
  <c r="BK224" i="4"/>
  <c r="J229" i="4"/>
  <c r="P229" i="4"/>
  <c r="R229" i="4"/>
  <c r="T229" i="4"/>
  <c r="BE229" i="4"/>
  <c r="BF229" i="4"/>
  <c r="BG229" i="4"/>
  <c r="BH229" i="4"/>
  <c r="BI229" i="4"/>
  <c r="BK229" i="4"/>
  <c r="J235" i="4"/>
  <c r="BE235" i="4"/>
  <c r="P235" i="4"/>
  <c r="R235" i="4"/>
  <c r="T235" i="4"/>
  <c r="BF235" i="4"/>
  <c r="BG235" i="4"/>
  <c r="BH235" i="4"/>
  <c r="BI235" i="4"/>
  <c r="BK235" i="4"/>
  <c r="J238" i="4"/>
  <c r="BE238" i="4"/>
  <c r="P238" i="4"/>
  <c r="R238" i="4"/>
  <c r="T238" i="4"/>
  <c r="BF238" i="4"/>
  <c r="BG238" i="4"/>
  <c r="BH238" i="4"/>
  <c r="BI238" i="4"/>
  <c r="BK238" i="4"/>
  <c r="J240" i="4"/>
  <c r="P240" i="4"/>
  <c r="R240" i="4"/>
  <c r="T240" i="4"/>
  <c r="BE240" i="4"/>
  <c r="BF240" i="4"/>
  <c r="BG240" i="4"/>
  <c r="BH240" i="4"/>
  <c r="BI240" i="4"/>
  <c r="BK240" i="4"/>
  <c r="J242" i="4"/>
  <c r="P242" i="4"/>
  <c r="R242" i="4"/>
  <c r="T242" i="4"/>
  <c r="BE242" i="4"/>
  <c r="BF242" i="4"/>
  <c r="BG242" i="4"/>
  <c r="BH242" i="4"/>
  <c r="BI242" i="4"/>
  <c r="BK242" i="4"/>
  <c r="J250" i="4"/>
  <c r="P250" i="4"/>
  <c r="R250" i="4"/>
  <c r="T250" i="4"/>
  <c r="T249" i="4"/>
  <c r="BE250" i="4"/>
  <c r="BF250" i="4"/>
  <c r="BG250" i="4"/>
  <c r="BH250" i="4"/>
  <c r="BI250" i="4"/>
  <c r="BK250" i="4"/>
  <c r="J256" i="4"/>
  <c r="BE256" i="4"/>
  <c r="P256" i="4"/>
  <c r="P249" i="4"/>
  <c r="R256" i="4"/>
  <c r="R249" i="4"/>
  <c r="T256" i="4"/>
  <c r="BF256" i="4"/>
  <c r="BG256" i="4"/>
  <c r="BH256" i="4"/>
  <c r="BI256" i="4"/>
  <c r="BK256" i="4"/>
  <c r="BK249" i="4"/>
  <c r="J249" i="4"/>
  <c r="J101" i="4"/>
  <c r="J261" i="4"/>
  <c r="BE261" i="4"/>
  <c r="P261" i="4"/>
  <c r="R261" i="4"/>
  <c r="T261" i="4"/>
  <c r="BF261" i="4"/>
  <c r="BG261" i="4"/>
  <c r="BH261" i="4"/>
  <c r="BI261" i="4"/>
  <c r="BK261" i="4"/>
  <c r="J264" i="4"/>
  <c r="P264" i="4"/>
  <c r="R264" i="4"/>
  <c r="T264" i="4"/>
  <c r="BE264" i="4"/>
  <c r="BF264" i="4"/>
  <c r="BG264" i="4"/>
  <c r="BH264" i="4"/>
  <c r="BI264" i="4"/>
  <c r="BK264" i="4"/>
  <c r="P267" i="4"/>
  <c r="T267" i="4"/>
  <c r="BK267" i="4"/>
  <c r="J267" i="4"/>
  <c r="J102" i="4"/>
  <c r="J268" i="4"/>
  <c r="BE268" i="4"/>
  <c r="P268" i="4"/>
  <c r="R268" i="4"/>
  <c r="R267" i="4"/>
  <c r="T268" i="4"/>
  <c r="BF268" i="4"/>
  <c r="BG268" i="4"/>
  <c r="BH268" i="4"/>
  <c r="BI268" i="4"/>
  <c r="BK268" i="4"/>
  <c r="J12" i="5"/>
  <c r="J113" i="5"/>
  <c r="J17" i="5"/>
  <c r="E18" i="5"/>
  <c r="J18" i="5"/>
  <c r="J35" i="5"/>
  <c r="AX98" i="1"/>
  <c r="J36" i="5"/>
  <c r="AY98" i="1"/>
  <c r="J37" i="5"/>
  <c r="E85" i="5"/>
  <c r="E87" i="5"/>
  <c r="F89" i="5"/>
  <c r="F91" i="5"/>
  <c r="J91" i="5"/>
  <c r="F92" i="5"/>
  <c r="J92" i="5"/>
  <c r="E109" i="5"/>
  <c r="E111" i="5"/>
  <c r="F113" i="5"/>
  <c r="F115" i="5"/>
  <c r="J115" i="5"/>
  <c r="F116" i="5"/>
  <c r="J116" i="5"/>
  <c r="J122" i="5"/>
  <c r="BE122" i="5"/>
  <c r="P122" i="5"/>
  <c r="P121" i="5"/>
  <c r="P120" i="5"/>
  <c r="P119" i="5"/>
  <c r="AU98" i="1"/>
  <c r="R122" i="5"/>
  <c r="R121" i="5"/>
  <c r="T122" i="5"/>
  <c r="BF122" i="5"/>
  <c r="BG122" i="5"/>
  <c r="F35" i="5"/>
  <c r="BB98" i="1"/>
  <c r="BH122" i="5"/>
  <c r="BI122" i="5"/>
  <c r="BK122" i="5"/>
  <c r="BK121" i="5"/>
  <c r="J124" i="5"/>
  <c r="BE124" i="5"/>
  <c r="P124" i="5"/>
  <c r="R124" i="5"/>
  <c r="T124" i="5"/>
  <c r="T121" i="5"/>
  <c r="BF124" i="5"/>
  <c r="BG124" i="5"/>
  <c r="BH124" i="5"/>
  <c r="BI124" i="5"/>
  <c r="F37" i="5"/>
  <c r="BD98" i="1"/>
  <c r="BK124" i="5"/>
  <c r="J125" i="5"/>
  <c r="P125" i="5"/>
  <c r="R125" i="5"/>
  <c r="T125" i="5"/>
  <c r="BE125" i="5"/>
  <c r="BF125" i="5"/>
  <c r="BG125" i="5"/>
  <c r="BH125" i="5"/>
  <c r="BI125" i="5"/>
  <c r="BK125" i="5"/>
  <c r="P127" i="5"/>
  <c r="T127" i="5"/>
  <c r="T120" i="5"/>
  <c r="T119" i="5"/>
  <c r="BK127" i="5"/>
  <c r="J127" i="5"/>
  <c r="J99" i="5"/>
  <c r="J128" i="5"/>
  <c r="BE128" i="5"/>
  <c r="P128" i="5"/>
  <c r="R128" i="5"/>
  <c r="R127" i="5"/>
  <c r="T128" i="5"/>
  <c r="BF128" i="5"/>
  <c r="BG128" i="5"/>
  <c r="BH128" i="5"/>
  <c r="BI128" i="5"/>
  <c r="BK128" i="5"/>
  <c r="J12" i="6"/>
  <c r="J116" i="6"/>
  <c r="J17" i="6"/>
  <c r="E18" i="6"/>
  <c r="J18" i="6"/>
  <c r="J35" i="6"/>
  <c r="AX99" i="1"/>
  <c r="J36" i="6"/>
  <c r="AY99" i="1"/>
  <c r="J37" i="6"/>
  <c r="E85" i="6"/>
  <c r="E87" i="6"/>
  <c r="F89" i="6"/>
  <c r="F91" i="6"/>
  <c r="J91" i="6"/>
  <c r="F92" i="6"/>
  <c r="J92" i="6"/>
  <c r="E112" i="6"/>
  <c r="E114" i="6"/>
  <c r="F116" i="6"/>
  <c r="F118" i="6"/>
  <c r="J118" i="6"/>
  <c r="F119" i="6"/>
  <c r="J119" i="6"/>
  <c r="T124" i="6"/>
  <c r="J125" i="6"/>
  <c r="BE125" i="6"/>
  <c r="P125" i="6"/>
  <c r="P124" i="6"/>
  <c r="R125" i="6"/>
  <c r="T125" i="6"/>
  <c r="BF125" i="6"/>
  <c r="BG125" i="6"/>
  <c r="BH125" i="6"/>
  <c r="BI125" i="6"/>
  <c r="BK125" i="6"/>
  <c r="J128" i="6"/>
  <c r="P128" i="6"/>
  <c r="R128" i="6"/>
  <c r="T128" i="6"/>
  <c r="BE128" i="6"/>
  <c r="BF128" i="6"/>
  <c r="BG128" i="6"/>
  <c r="BH128" i="6"/>
  <c r="BI128" i="6"/>
  <c r="BK128" i="6"/>
  <c r="J131" i="6"/>
  <c r="P131" i="6"/>
  <c r="R131" i="6"/>
  <c r="T131" i="6"/>
  <c r="BE131" i="6"/>
  <c r="BF131" i="6"/>
  <c r="BG131" i="6"/>
  <c r="BH131" i="6"/>
  <c r="BI131" i="6"/>
  <c r="BK131" i="6"/>
  <c r="J134" i="6"/>
  <c r="BE134" i="6"/>
  <c r="P134" i="6"/>
  <c r="R134" i="6"/>
  <c r="T134" i="6"/>
  <c r="BF134" i="6"/>
  <c r="BG134" i="6"/>
  <c r="BH134" i="6"/>
  <c r="BI134" i="6"/>
  <c r="F37" i="6"/>
  <c r="BD99" i="1"/>
  <c r="BK134" i="6"/>
  <c r="BK124" i="6"/>
  <c r="J141" i="6"/>
  <c r="BE141" i="6"/>
  <c r="P141" i="6"/>
  <c r="R141" i="6"/>
  <c r="T141" i="6"/>
  <c r="BF141" i="6"/>
  <c r="BG141" i="6"/>
  <c r="BH141" i="6"/>
  <c r="BI141" i="6"/>
  <c r="BK141" i="6"/>
  <c r="J145" i="6"/>
  <c r="P145" i="6"/>
  <c r="R145" i="6"/>
  <c r="T145" i="6"/>
  <c r="BE145" i="6"/>
  <c r="BF145" i="6"/>
  <c r="BG145" i="6"/>
  <c r="BH145" i="6"/>
  <c r="BI145" i="6"/>
  <c r="BK145" i="6"/>
  <c r="J149" i="6"/>
  <c r="P149" i="6"/>
  <c r="R149" i="6"/>
  <c r="T149" i="6"/>
  <c r="BE149" i="6"/>
  <c r="BF149" i="6"/>
  <c r="BG149" i="6"/>
  <c r="BH149" i="6"/>
  <c r="BI149" i="6"/>
  <c r="BK149" i="6"/>
  <c r="J152" i="6"/>
  <c r="BE152" i="6"/>
  <c r="P152" i="6"/>
  <c r="R152" i="6"/>
  <c r="T152" i="6"/>
  <c r="BF152" i="6"/>
  <c r="BG152" i="6"/>
  <c r="BH152" i="6"/>
  <c r="BI152" i="6"/>
  <c r="BK152" i="6"/>
  <c r="J154" i="6"/>
  <c r="BE154" i="6"/>
  <c r="P154" i="6"/>
  <c r="R154" i="6"/>
  <c r="T154" i="6"/>
  <c r="BF154" i="6"/>
  <c r="BG154" i="6"/>
  <c r="BH154" i="6"/>
  <c r="BI154" i="6"/>
  <c r="BK154" i="6"/>
  <c r="J158" i="6"/>
  <c r="BE158" i="6"/>
  <c r="P158" i="6"/>
  <c r="P157" i="6"/>
  <c r="R158" i="6"/>
  <c r="T158" i="6"/>
  <c r="BF158" i="6"/>
  <c r="BG158" i="6"/>
  <c r="BH158" i="6"/>
  <c r="BI158" i="6"/>
  <c r="BK158" i="6"/>
  <c r="J162" i="6"/>
  <c r="P162" i="6"/>
  <c r="R162" i="6"/>
  <c r="R157" i="6"/>
  <c r="T162" i="6"/>
  <c r="BE162" i="6"/>
  <c r="BF162" i="6"/>
  <c r="BG162" i="6"/>
  <c r="BH162" i="6"/>
  <c r="BI162" i="6"/>
  <c r="BK162" i="6"/>
  <c r="J164" i="6"/>
  <c r="P164" i="6"/>
  <c r="R164" i="6"/>
  <c r="T164" i="6"/>
  <c r="BE164" i="6"/>
  <c r="BF164" i="6"/>
  <c r="BG164" i="6"/>
  <c r="BH164" i="6"/>
  <c r="BI164" i="6"/>
  <c r="BK164" i="6"/>
  <c r="J168" i="6"/>
  <c r="P168" i="6"/>
  <c r="R168" i="6"/>
  <c r="T168" i="6"/>
  <c r="BE168" i="6"/>
  <c r="BF168" i="6"/>
  <c r="BG168" i="6"/>
  <c r="BH168" i="6"/>
  <c r="BI168" i="6"/>
  <c r="BK168" i="6"/>
  <c r="BK157" i="6"/>
  <c r="J157" i="6"/>
  <c r="J99" i="6"/>
  <c r="J171" i="6"/>
  <c r="BE171" i="6"/>
  <c r="P171" i="6"/>
  <c r="R171" i="6"/>
  <c r="T171" i="6"/>
  <c r="BF171" i="6"/>
  <c r="BG171" i="6"/>
  <c r="BH171" i="6"/>
  <c r="BI171" i="6"/>
  <c r="BK171" i="6"/>
  <c r="J174" i="6"/>
  <c r="P174" i="6"/>
  <c r="R174" i="6"/>
  <c r="T174" i="6"/>
  <c r="BE174" i="6"/>
  <c r="BF174" i="6"/>
  <c r="BG174" i="6"/>
  <c r="BH174" i="6"/>
  <c r="BI174" i="6"/>
  <c r="BK174" i="6"/>
  <c r="J177" i="6"/>
  <c r="P177" i="6"/>
  <c r="R177" i="6"/>
  <c r="T177" i="6"/>
  <c r="BE177" i="6"/>
  <c r="BF177" i="6"/>
  <c r="BG177" i="6"/>
  <c r="BH177" i="6"/>
  <c r="BI177" i="6"/>
  <c r="BK177" i="6"/>
  <c r="P179" i="6"/>
  <c r="J180" i="6"/>
  <c r="P180" i="6"/>
  <c r="R180" i="6"/>
  <c r="T180" i="6"/>
  <c r="BE180" i="6"/>
  <c r="BF180" i="6"/>
  <c r="BG180" i="6"/>
  <c r="BH180" i="6"/>
  <c r="BI180" i="6"/>
  <c r="BK180" i="6"/>
  <c r="BK179" i="6"/>
  <c r="J179" i="6"/>
  <c r="J100" i="6"/>
  <c r="J183" i="6"/>
  <c r="P183" i="6"/>
  <c r="R183" i="6"/>
  <c r="R179" i="6"/>
  <c r="T183" i="6"/>
  <c r="T179" i="6"/>
  <c r="BE183" i="6"/>
  <c r="BF183" i="6"/>
  <c r="BG183" i="6"/>
  <c r="BH183" i="6"/>
  <c r="BI183" i="6"/>
  <c r="BK183" i="6"/>
  <c r="J186" i="6"/>
  <c r="BE186" i="6"/>
  <c r="P186" i="6"/>
  <c r="R186" i="6"/>
  <c r="T186" i="6"/>
  <c r="BF186" i="6"/>
  <c r="BG186" i="6"/>
  <c r="BH186" i="6"/>
  <c r="BI186" i="6"/>
  <c r="BK186" i="6"/>
  <c r="J189" i="6"/>
  <c r="BE189" i="6"/>
  <c r="P189" i="6"/>
  <c r="R189" i="6"/>
  <c r="T189" i="6"/>
  <c r="BF189" i="6"/>
  <c r="BG189" i="6"/>
  <c r="BH189" i="6"/>
  <c r="BI189" i="6"/>
  <c r="BK189" i="6"/>
  <c r="BK192" i="6"/>
  <c r="J192" i="6"/>
  <c r="J101" i="6"/>
  <c r="J193" i="6"/>
  <c r="BE193" i="6"/>
  <c r="P193" i="6"/>
  <c r="P192" i="6"/>
  <c r="R193" i="6"/>
  <c r="T193" i="6"/>
  <c r="T192" i="6"/>
  <c r="BF193" i="6"/>
  <c r="BG193" i="6"/>
  <c r="BH193" i="6"/>
  <c r="BI193" i="6"/>
  <c r="BK193" i="6"/>
  <c r="J199" i="6"/>
  <c r="P199" i="6"/>
  <c r="R199" i="6"/>
  <c r="R192" i="6"/>
  <c r="T199" i="6"/>
  <c r="BE199" i="6"/>
  <c r="BF199" i="6"/>
  <c r="BG199" i="6"/>
  <c r="BH199" i="6"/>
  <c r="BI199" i="6"/>
  <c r="BK199" i="6"/>
  <c r="P202" i="6"/>
  <c r="T202" i="6"/>
  <c r="BK202" i="6"/>
  <c r="J202" i="6"/>
  <c r="J102" i="6"/>
  <c r="J203" i="6"/>
  <c r="BE203" i="6"/>
  <c r="P203" i="6"/>
  <c r="R203" i="6"/>
  <c r="R202" i="6"/>
  <c r="T203" i="6"/>
  <c r="BF203" i="6"/>
  <c r="BG203" i="6"/>
  <c r="BH203" i="6"/>
  <c r="BI203" i="6"/>
  <c r="BK203" i="6"/>
  <c r="J12" i="7"/>
  <c r="J121" i="7"/>
  <c r="J17" i="7"/>
  <c r="E18" i="7"/>
  <c r="J18" i="7"/>
  <c r="J35" i="7"/>
  <c r="AX100" i="1"/>
  <c r="J36" i="7"/>
  <c r="AY100" i="1"/>
  <c r="J37" i="7"/>
  <c r="E85" i="7"/>
  <c r="E87" i="7"/>
  <c r="F89" i="7"/>
  <c r="F91" i="7"/>
  <c r="J91" i="7"/>
  <c r="F92" i="7"/>
  <c r="J92" i="7"/>
  <c r="E117" i="7"/>
  <c r="E119" i="7"/>
  <c r="F121" i="7"/>
  <c r="F123" i="7"/>
  <c r="J123" i="7"/>
  <c r="F124" i="7"/>
  <c r="J124" i="7"/>
  <c r="J130" i="7"/>
  <c r="P130" i="7"/>
  <c r="R130" i="7"/>
  <c r="R129" i="7"/>
  <c r="T130" i="7"/>
  <c r="BE130" i="7"/>
  <c r="BF130" i="7"/>
  <c r="BG130" i="7"/>
  <c r="BH130" i="7"/>
  <c r="BI130" i="7"/>
  <c r="BK130" i="7"/>
  <c r="J133" i="7"/>
  <c r="BE133" i="7"/>
  <c r="P133" i="7"/>
  <c r="R133" i="7"/>
  <c r="T133" i="7"/>
  <c r="BF133" i="7"/>
  <c r="BG133" i="7"/>
  <c r="BH133" i="7"/>
  <c r="BI133" i="7"/>
  <c r="BK133" i="7"/>
  <c r="J135" i="7"/>
  <c r="P135" i="7"/>
  <c r="R135" i="7"/>
  <c r="T135" i="7"/>
  <c r="BE135" i="7"/>
  <c r="BF135" i="7"/>
  <c r="BG135" i="7"/>
  <c r="BH135" i="7"/>
  <c r="BI135" i="7"/>
  <c r="BK135" i="7"/>
  <c r="J138" i="7"/>
  <c r="P138" i="7"/>
  <c r="R138" i="7"/>
  <c r="T138" i="7"/>
  <c r="BE138" i="7"/>
  <c r="BF138" i="7"/>
  <c r="BG138" i="7"/>
  <c r="BH138" i="7"/>
  <c r="BI138" i="7"/>
  <c r="BK138" i="7"/>
  <c r="J140" i="7"/>
  <c r="P140" i="7"/>
  <c r="R140" i="7"/>
  <c r="T140" i="7"/>
  <c r="BE140" i="7"/>
  <c r="BF140" i="7"/>
  <c r="BG140" i="7"/>
  <c r="BH140" i="7"/>
  <c r="BI140" i="7"/>
  <c r="BK140" i="7"/>
  <c r="J142" i="7"/>
  <c r="BE142" i="7"/>
  <c r="P142" i="7"/>
  <c r="R142" i="7"/>
  <c r="T142" i="7"/>
  <c r="BF142" i="7"/>
  <c r="BG142" i="7"/>
  <c r="BH142" i="7"/>
  <c r="BI142" i="7"/>
  <c r="BK142" i="7"/>
  <c r="J145" i="7"/>
  <c r="P145" i="7"/>
  <c r="R145" i="7"/>
  <c r="T145" i="7"/>
  <c r="BE145" i="7"/>
  <c r="BF145" i="7"/>
  <c r="BG145" i="7"/>
  <c r="BH145" i="7"/>
  <c r="BI145" i="7"/>
  <c r="BK145" i="7"/>
  <c r="J150" i="7"/>
  <c r="P150" i="7"/>
  <c r="R150" i="7"/>
  <c r="T150" i="7"/>
  <c r="BE150" i="7"/>
  <c r="BF150" i="7"/>
  <c r="BG150" i="7"/>
  <c r="BH150" i="7"/>
  <c r="BI150" i="7"/>
  <c r="BK150" i="7"/>
  <c r="J153" i="7"/>
  <c r="P153" i="7"/>
  <c r="R153" i="7"/>
  <c r="T153" i="7"/>
  <c r="BE153" i="7"/>
  <c r="BF153" i="7"/>
  <c r="BG153" i="7"/>
  <c r="BH153" i="7"/>
  <c r="BI153" i="7"/>
  <c r="BK153" i="7"/>
  <c r="J156" i="7"/>
  <c r="BE156" i="7"/>
  <c r="P156" i="7"/>
  <c r="R156" i="7"/>
  <c r="T156" i="7"/>
  <c r="BF156" i="7"/>
  <c r="BG156" i="7"/>
  <c r="BH156" i="7"/>
  <c r="BI156" i="7"/>
  <c r="BK156" i="7"/>
  <c r="J161" i="7"/>
  <c r="BE161" i="7"/>
  <c r="P161" i="7"/>
  <c r="R161" i="7"/>
  <c r="T161" i="7"/>
  <c r="BF161" i="7"/>
  <c r="BG161" i="7"/>
  <c r="BH161" i="7"/>
  <c r="BI161" i="7"/>
  <c r="BK161" i="7"/>
  <c r="J164" i="7"/>
  <c r="P164" i="7"/>
  <c r="R164" i="7"/>
  <c r="T164" i="7"/>
  <c r="BE164" i="7"/>
  <c r="BF164" i="7"/>
  <c r="BG164" i="7"/>
  <c r="BH164" i="7"/>
  <c r="BI164" i="7"/>
  <c r="BK164" i="7"/>
  <c r="J169" i="7"/>
  <c r="P169" i="7"/>
  <c r="R169" i="7"/>
  <c r="T169" i="7"/>
  <c r="BE169" i="7"/>
  <c r="BF169" i="7"/>
  <c r="BG169" i="7"/>
  <c r="BH169" i="7"/>
  <c r="BI169" i="7"/>
  <c r="BK169" i="7"/>
  <c r="J171" i="7"/>
  <c r="BE171" i="7"/>
  <c r="P171" i="7"/>
  <c r="R171" i="7"/>
  <c r="T171" i="7"/>
  <c r="BF171" i="7"/>
  <c r="BG171" i="7"/>
  <c r="BH171" i="7"/>
  <c r="BI171" i="7"/>
  <c r="BK171" i="7"/>
  <c r="J173" i="7"/>
  <c r="P173" i="7"/>
  <c r="R173" i="7"/>
  <c r="T173" i="7"/>
  <c r="BE173" i="7"/>
  <c r="BF173" i="7"/>
  <c r="BG173" i="7"/>
  <c r="BH173" i="7"/>
  <c r="BI173" i="7"/>
  <c r="BK173" i="7"/>
  <c r="J176" i="7"/>
  <c r="P176" i="7"/>
  <c r="R176" i="7"/>
  <c r="T176" i="7"/>
  <c r="BE176" i="7"/>
  <c r="BF176" i="7"/>
  <c r="BG176" i="7"/>
  <c r="BH176" i="7"/>
  <c r="BI176" i="7"/>
  <c r="BK176" i="7"/>
  <c r="J178" i="7"/>
  <c r="P178" i="7"/>
  <c r="R178" i="7"/>
  <c r="T178" i="7"/>
  <c r="BE178" i="7"/>
  <c r="BF178" i="7"/>
  <c r="BG178" i="7"/>
  <c r="BH178" i="7"/>
  <c r="BI178" i="7"/>
  <c r="BK178" i="7"/>
  <c r="J188" i="7"/>
  <c r="BE188" i="7"/>
  <c r="P188" i="7"/>
  <c r="R188" i="7"/>
  <c r="T188" i="7"/>
  <c r="BF188" i="7"/>
  <c r="BG188" i="7"/>
  <c r="BH188" i="7"/>
  <c r="BI188" i="7"/>
  <c r="BK188" i="7"/>
  <c r="J190" i="7"/>
  <c r="BE190" i="7"/>
  <c r="P190" i="7"/>
  <c r="R190" i="7"/>
  <c r="T190" i="7"/>
  <c r="BF190" i="7"/>
  <c r="BG190" i="7"/>
  <c r="BH190" i="7"/>
  <c r="BI190" i="7"/>
  <c r="BK190" i="7"/>
  <c r="J195" i="7"/>
  <c r="P195" i="7"/>
  <c r="R195" i="7"/>
  <c r="T195" i="7"/>
  <c r="BE195" i="7"/>
  <c r="BF195" i="7"/>
  <c r="BG195" i="7"/>
  <c r="BH195" i="7"/>
  <c r="BI195" i="7"/>
  <c r="BK195" i="7"/>
  <c r="P197" i="7"/>
  <c r="J198" i="7"/>
  <c r="P198" i="7"/>
  <c r="R198" i="7"/>
  <c r="T198" i="7"/>
  <c r="BE198" i="7"/>
  <c r="BF198" i="7"/>
  <c r="BG198" i="7"/>
  <c r="BH198" i="7"/>
  <c r="BI198" i="7"/>
  <c r="BK198" i="7"/>
  <c r="BK197" i="7"/>
  <c r="J197" i="7"/>
  <c r="J99" i="7"/>
  <c r="J203" i="7"/>
  <c r="P203" i="7"/>
  <c r="R203" i="7"/>
  <c r="R197" i="7"/>
  <c r="T203" i="7"/>
  <c r="T197" i="7"/>
  <c r="BE203" i="7"/>
  <c r="BF203" i="7"/>
  <c r="BG203" i="7"/>
  <c r="BH203" i="7"/>
  <c r="BI203" i="7"/>
  <c r="BK203" i="7"/>
  <c r="J208" i="7"/>
  <c r="BE208" i="7"/>
  <c r="P208" i="7"/>
  <c r="R208" i="7"/>
  <c r="T208" i="7"/>
  <c r="BF208" i="7"/>
  <c r="BG208" i="7"/>
  <c r="BH208" i="7"/>
  <c r="BI208" i="7"/>
  <c r="BK208" i="7"/>
  <c r="J212" i="7"/>
  <c r="P212" i="7"/>
  <c r="R212" i="7"/>
  <c r="T212" i="7"/>
  <c r="BE212" i="7"/>
  <c r="BF212" i="7"/>
  <c r="BG212" i="7"/>
  <c r="BH212" i="7"/>
  <c r="BI212" i="7"/>
  <c r="BK212" i="7"/>
  <c r="J216" i="7"/>
  <c r="BE216" i="7"/>
  <c r="P216" i="7"/>
  <c r="R216" i="7"/>
  <c r="T216" i="7"/>
  <c r="BF216" i="7"/>
  <c r="BG216" i="7"/>
  <c r="BH216" i="7"/>
  <c r="BI216" i="7"/>
  <c r="BK216" i="7"/>
  <c r="J221" i="7"/>
  <c r="BE221" i="7"/>
  <c r="P221" i="7"/>
  <c r="R221" i="7"/>
  <c r="T221" i="7"/>
  <c r="BF221" i="7"/>
  <c r="BG221" i="7"/>
  <c r="BH221" i="7"/>
  <c r="BI221" i="7"/>
  <c r="BK221" i="7"/>
  <c r="J224" i="7"/>
  <c r="P224" i="7"/>
  <c r="R224" i="7"/>
  <c r="T224" i="7"/>
  <c r="BE224" i="7"/>
  <c r="BF224" i="7"/>
  <c r="BG224" i="7"/>
  <c r="BH224" i="7"/>
  <c r="BI224" i="7"/>
  <c r="BK224" i="7"/>
  <c r="J227" i="7"/>
  <c r="P227" i="7"/>
  <c r="R227" i="7"/>
  <c r="T227" i="7"/>
  <c r="BE227" i="7"/>
  <c r="BF227" i="7"/>
  <c r="BG227" i="7"/>
  <c r="BH227" i="7"/>
  <c r="BI227" i="7"/>
  <c r="BK227" i="7"/>
  <c r="J229" i="7"/>
  <c r="BE229" i="7"/>
  <c r="P229" i="7"/>
  <c r="R229" i="7"/>
  <c r="T229" i="7"/>
  <c r="BF229" i="7"/>
  <c r="BG229" i="7"/>
  <c r="BH229" i="7"/>
  <c r="BI229" i="7"/>
  <c r="BK229" i="7"/>
  <c r="J232" i="7"/>
  <c r="BE232" i="7"/>
  <c r="P232" i="7"/>
  <c r="R232" i="7"/>
  <c r="T232" i="7"/>
  <c r="BF232" i="7"/>
  <c r="BG232" i="7"/>
  <c r="BH232" i="7"/>
  <c r="BI232" i="7"/>
  <c r="BK232" i="7"/>
  <c r="J234" i="7"/>
  <c r="P234" i="7"/>
  <c r="R234" i="7"/>
  <c r="T234" i="7"/>
  <c r="BE234" i="7"/>
  <c r="BF234" i="7"/>
  <c r="BG234" i="7"/>
  <c r="BH234" i="7"/>
  <c r="BI234" i="7"/>
  <c r="BK234" i="7"/>
  <c r="J235" i="7"/>
  <c r="P235" i="7"/>
  <c r="R235" i="7"/>
  <c r="T235" i="7"/>
  <c r="BE235" i="7"/>
  <c r="BF235" i="7"/>
  <c r="BG235" i="7"/>
  <c r="BH235" i="7"/>
  <c r="BI235" i="7"/>
  <c r="BK235" i="7"/>
  <c r="J236" i="7"/>
  <c r="BE236" i="7"/>
  <c r="P236" i="7"/>
  <c r="R236" i="7"/>
  <c r="T236" i="7"/>
  <c r="BF236" i="7"/>
  <c r="BG236" i="7"/>
  <c r="BH236" i="7"/>
  <c r="BI236" i="7"/>
  <c r="BK236" i="7"/>
  <c r="J237" i="7"/>
  <c r="BE237" i="7"/>
  <c r="P237" i="7"/>
  <c r="R237" i="7"/>
  <c r="T237" i="7"/>
  <c r="BF237" i="7"/>
  <c r="BG237" i="7"/>
  <c r="BH237" i="7"/>
  <c r="BI237" i="7"/>
  <c r="BK237" i="7"/>
  <c r="J239" i="7"/>
  <c r="P239" i="7"/>
  <c r="R239" i="7"/>
  <c r="T239" i="7"/>
  <c r="BE239" i="7"/>
  <c r="BF239" i="7"/>
  <c r="BG239" i="7"/>
  <c r="BH239" i="7"/>
  <c r="BI239" i="7"/>
  <c r="BK239" i="7"/>
  <c r="J241" i="7"/>
  <c r="P241" i="7"/>
  <c r="R241" i="7"/>
  <c r="T241" i="7"/>
  <c r="BE241" i="7"/>
  <c r="BF241" i="7"/>
  <c r="BG241" i="7"/>
  <c r="BH241" i="7"/>
  <c r="BI241" i="7"/>
  <c r="BK241" i="7"/>
  <c r="J243" i="7"/>
  <c r="BE243" i="7"/>
  <c r="P243" i="7"/>
  <c r="R243" i="7"/>
  <c r="T243" i="7"/>
  <c r="BF243" i="7"/>
  <c r="BG243" i="7"/>
  <c r="BH243" i="7"/>
  <c r="BI243" i="7"/>
  <c r="BK243" i="7"/>
  <c r="J245" i="7"/>
  <c r="BE245" i="7"/>
  <c r="P245" i="7"/>
  <c r="R245" i="7"/>
  <c r="T245" i="7"/>
  <c r="BF245" i="7"/>
  <c r="BG245" i="7"/>
  <c r="BH245" i="7"/>
  <c r="BI245" i="7"/>
  <c r="BK245" i="7"/>
  <c r="J247" i="7"/>
  <c r="P247" i="7"/>
  <c r="R247" i="7"/>
  <c r="T247" i="7"/>
  <c r="BE247" i="7"/>
  <c r="BF247" i="7"/>
  <c r="BG247" i="7"/>
  <c r="BH247" i="7"/>
  <c r="BI247" i="7"/>
  <c r="BK247" i="7"/>
  <c r="J249" i="7"/>
  <c r="P249" i="7"/>
  <c r="R249" i="7"/>
  <c r="T249" i="7"/>
  <c r="BE249" i="7"/>
  <c r="BF249" i="7"/>
  <c r="BG249" i="7"/>
  <c r="BH249" i="7"/>
  <c r="BI249" i="7"/>
  <c r="BK249" i="7"/>
  <c r="J251" i="7"/>
  <c r="BE251" i="7"/>
  <c r="P251" i="7"/>
  <c r="R251" i="7"/>
  <c r="T251" i="7"/>
  <c r="BF251" i="7"/>
  <c r="BG251" i="7"/>
  <c r="BH251" i="7"/>
  <c r="BI251" i="7"/>
  <c r="BK251" i="7"/>
  <c r="J253" i="7"/>
  <c r="P253" i="7"/>
  <c r="R253" i="7"/>
  <c r="T253" i="7"/>
  <c r="BE253" i="7"/>
  <c r="BF253" i="7"/>
  <c r="BG253" i="7"/>
  <c r="BH253" i="7"/>
  <c r="BI253" i="7"/>
  <c r="BK253" i="7"/>
  <c r="J256" i="7"/>
  <c r="P256" i="7"/>
  <c r="R256" i="7"/>
  <c r="T256" i="7"/>
  <c r="BE256" i="7"/>
  <c r="BF256" i="7"/>
  <c r="BG256" i="7"/>
  <c r="BH256" i="7"/>
  <c r="BI256" i="7"/>
  <c r="BK256" i="7"/>
  <c r="J259" i="7"/>
  <c r="P259" i="7"/>
  <c r="R259" i="7"/>
  <c r="T259" i="7"/>
  <c r="BE259" i="7"/>
  <c r="BF259" i="7"/>
  <c r="BG259" i="7"/>
  <c r="BH259" i="7"/>
  <c r="BI259" i="7"/>
  <c r="BK259" i="7"/>
  <c r="J262" i="7"/>
  <c r="BE262" i="7"/>
  <c r="P262" i="7"/>
  <c r="R262" i="7"/>
  <c r="T262" i="7"/>
  <c r="BF262" i="7"/>
  <c r="BG262" i="7"/>
  <c r="BH262" i="7"/>
  <c r="BI262" i="7"/>
  <c r="BK262" i="7"/>
  <c r="J264" i="7"/>
  <c r="P264" i="7"/>
  <c r="R264" i="7"/>
  <c r="T264" i="7"/>
  <c r="BE264" i="7"/>
  <c r="BF264" i="7"/>
  <c r="BG264" i="7"/>
  <c r="BH264" i="7"/>
  <c r="BI264" i="7"/>
  <c r="BK264" i="7"/>
  <c r="J266" i="7"/>
  <c r="P266" i="7"/>
  <c r="R266" i="7"/>
  <c r="T266" i="7"/>
  <c r="BE266" i="7"/>
  <c r="BF266" i="7"/>
  <c r="BG266" i="7"/>
  <c r="BH266" i="7"/>
  <c r="BI266" i="7"/>
  <c r="BK266" i="7"/>
  <c r="J267" i="7"/>
  <c r="P267" i="7"/>
  <c r="R267" i="7"/>
  <c r="T267" i="7"/>
  <c r="BE267" i="7"/>
  <c r="BF267" i="7"/>
  <c r="BG267" i="7"/>
  <c r="BH267" i="7"/>
  <c r="BI267" i="7"/>
  <c r="BK267" i="7"/>
  <c r="J269" i="7"/>
  <c r="BE269" i="7"/>
  <c r="P269" i="7"/>
  <c r="R269" i="7"/>
  <c r="T269" i="7"/>
  <c r="BF269" i="7"/>
  <c r="BG269" i="7"/>
  <c r="BH269" i="7"/>
  <c r="BI269" i="7"/>
  <c r="BK269" i="7"/>
  <c r="J270" i="7"/>
  <c r="BE270" i="7"/>
  <c r="P270" i="7"/>
  <c r="R270" i="7"/>
  <c r="T270" i="7"/>
  <c r="BF270" i="7"/>
  <c r="BG270" i="7"/>
  <c r="BH270" i="7"/>
  <c r="BI270" i="7"/>
  <c r="BK270" i="7"/>
  <c r="J271" i="7"/>
  <c r="P271" i="7"/>
  <c r="R271" i="7"/>
  <c r="T271" i="7"/>
  <c r="BE271" i="7"/>
  <c r="BF271" i="7"/>
  <c r="BG271" i="7"/>
  <c r="BH271" i="7"/>
  <c r="BI271" i="7"/>
  <c r="BK271" i="7"/>
  <c r="J273" i="7"/>
  <c r="P273" i="7"/>
  <c r="R273" i="7"/>
  <c r="T273" i="7"/>
  <c r="BE273" i="7"/>
  <c r="BF273" i="7"/>
  <c r="BG273" i="7"/>
  <c r="BH273" i="7"/>
  <c r="BI273" i="7"/>
  <c r="BK273" i="7"/>
  <c r="J274" i="7"/>
  <c r="BE274" i="7"/>
  <c r="P274" i="7"/>
  <c r="R274" i="7"/>
  <c r="T274" i="7"/>
  <c r="BF274" i="7"/>
  <c r="BG274" i="7"/>
  <c r="BH274" i="7"/>
  <c r="BI274" i="7"/>
  <c r="BK274" i="7"/>
  <c r="J275" i="7"/>
  <c r="BE275" i="7"/>
  <c r="P275" i="7"/>
  <c r="R275" i="7"/>
  <c r="T275" i="7"/>
  <c r="BF275" i="7"/>
  <c r="BG275" i="7"/>
  <c r="BH275" i="7"/>
  <c r="BI275" i="7"/>
  <c r="BK275" i="7"/>
  <c r="J276" i="7"/>
  <c r="P276" i="7"/>
  <c r="R276" i="7"/>
  <c r="T276" i="7"/>
  <c r="BE276" i="7"/>
  <c r="BF276" i="7"/>
  <c r="BG276" i="7"/>
  <c r="BH276" i="7"/>
  <c r="BI276" i="7"/>
  <c r="BK276" i="7"/>
  <c r="J278" i="7"/>
  <c r="P278" i="7"/>
  <c r="R278" i="7"/>
  <c r="T278" i="7"/>
  <c r="BE278" i="7"/>
  <c r="BF278" i="7"/>
  <c r="BG278" i="7"/>
  <c r="BH278" i="7"/>
  <c r="BI278" i="7"/>
  <c r="BK278" i="7"/>
  <c r="J279" i="7"/>
  <c r="BE279" i="7"/>
  <c r="P279" i="7"/>
  <c r="R279" i="7"/>
  <c r="T279" i="7"/>
  <c r="BF279" i="7"/>
  <c r="BG279" i="7"/>
  <c r="BH279" i="7"/>
  <c r="BI279" i="7"/>
  <c r="BK279" i="7"/>
  <c r="J281" i="7"/>
  <c r="BE281" i="7"/>
  <c r="P281" i="7"/>
  <c r="R281" i="7"/>
  <c r="T281" i="7"/>
  <c r="BF281" i="7"/>
  <c r="BG281" i="7"/>
  <c r="BH281" i="7"/>
  <c r="BI281" i="7"/>
  <c r="BK281" i="7"/>
  <c r="J282" i="7"/>
  <c r="P282" i="7"/>
  <c r="R282" i="7"/>
  <c r="T282" i="7"/>
  <c r="BE282" i="7"/>
  <c r="BF282" i="7"/>
  <c r="BG282" i="7"/>
  <c r="BH282" i="7"/>
  <c r="BI282" i="7"/>
  <c r="BK282" i="7"/>
  <c r="J285" i="7"/>
  <c r="P285" i="7"/>
  <c r="R285" i="7"/>
  <c r="T285" i="7"/>
  <c r="BE285" i="7"/>
  <c r="BF285" i="7"/>
  <c r="BG285" i="7"/>
  <c r="BH285" i="7"/>
  <c r="BI285" i="7"/>
  <c r="BK285" i="7"/>
  <c r="J287" i="7"/>
  <c r="BE287" i="7"/>
  <c r="P287" i="7"/>
  <c r="R287" i="7"/>
  <c r="T287" i="7"/>
  <c r="BF287" i="7"/>
  <c r="BG287" i="7"/>
  <c r="BH287" i="7"/>
  <c r="BI287" i="7"/>
  <c r="BK287" i="7"/>
  <c r="J288" i="7"/>
  <c r="BE288" i="7"/>
  <c r="P288" i="7"/>
  <c r="R288" i="7"/>
  <c r="T288" i="7"/>
  <c r="BF288" i="7"/>
  <c r="BG288" i="7"/>
  <c r="BH288" i="7"/>
  <c r="BI288" i="7"/>
  <c r="BK288" i="7"/>
  <c r="J290" i="7"/>
  <c r="P290" i="7"/>
  <c r="R290" i="7"/>
  <c r="T290" i="7"/>
  <c r="BE290" i="7"/>
  <c r="BF290" i="7"/>
  <c r="BG290" i="7"/>
  <c r="BH290" i="7"/>
  <c r="BI290" i="7"/>
  <c r="BK290" i="7"/>
  <c r="J291" i="7"/>
  <c r="P291" i="7"/>
  <c r="R291" i="7"/>
  <c r="T291" i="7"/>
  <c r="BE291" i="7"/>
  <c r="BF291" i="7"/>
  <c r="BG291" i="7"/>
  <c r="BH291" i="7"/>
  <c r="BI291" i="7"/>
  <c r="BK291" i="7"/>
  <c r="J292" i="7"/>
  <c r="BE292" i="7"/>
  <c r="P292" i="7"/>
  <c r="R292" i="7"/>
  <c r="T292" i="7"/>
  <c r="BF292" i="7"/>
  <c r="BG292" i="7"/>
  <c r="BH292" i="7"/>
  <c r="BI292" i="7"/>
  <c r="BK292" i="7"/>
  <c r="J294" i="7"/>
  <c r="BE294" i="7"/>
  <c r="P294" i="7"/>
  <c r="R294" i="7"/>
  <c r="T294" i="7"/>
  <c r="BF294" i="7"/>
  <c r="BG294" i="7"/>
  <c r="BH294" i="7"/>
  <c r="BI294" i="7"/>
  <c r="BK294" i="7"/>
  <c r="J295" i="7"/>
  <c r="P295" i="7"/>
  <c r="R295" i="7"/>
  <c r="T295" i="7"/>
  <c r="BE295" i="7"/>
  <c r="BF295" i="7"/>
  <c r="BG295" i="7"/>
  <c r="BH295" i="7"/>
  <c r="BI295" i="7"/>
  <c r="BK295" i="7"/>
  <c r="J297" i="7"/>
  <c r="P297" i="7"/>
  <c r="R297" i="7"/>
  <c r="T297" i="7"/>
  <c r="BE297" i="7"/>
  <c r="BF297" i="7"/>
  <c r="BG297" i="7"/>
  <c r="BH297" i="7"/>
  <c r="BI297" i="7"/>
  <c r="BK297" i="7"/>
  <c r="J298" i="7"/>
  <c r="BE298" i="7"/>
  <c r="P298" i="7"/>
  <c r="R298" i="7"/>
  <c r="T298" i="7"/>
  <c r="BF298" i="7"/>
  <c r="BG298" i="7"/>
  <c r="BH298" i="7"/>
  <c r="BI298" i="7"/>
  <c r="BK298" i="7"/>
  <c r="J299" i="7"/>
  <c r="BE299" i="7"/>
  <c r="P299" i="7"/>
  <c r="R299" i="7"/>
  <c r="T299" i="7"/>
  <c r="BF299" i="7"/>
  <c r="BG299" i="7"/>
  <c r="BH299" i="7"/>
  <c r="BI299" i="7"/>
  <c r="BK299" i="7"/>
  <c r="J300" i="7"/>
  <c r="P300" i="7"/>
  <c r="R300" i="7"/>
  <c r="T300" i="7"/>
  <c r="BE300" i="7"/>
  <c r="BF300" i="7"/>
  <c r="BG300" i="7"/>
  <c r="BH300" i="7"/>
  <c r="BI300" i="7"/>
  <c r="BK300" i="7"/>
  <c r="J301" i="7"/>
  <c r="P301" i="7"/>
  <c r="R301" i="7"/>
  <c r="T301" i="7"/>
  <c r="BE301" i="7"/>
  <c r="BF301" i="7"/>
  <c r="BG301" i="7"/>
  <c r="BH301" i="7"/>
  <c r="BI301" i="7"/>
  <c r="BK301" i="7"/>
  <c r="J302" i="7"/>
  <c r="BE302" i="7"/>
  <c r="P302" i="7"/>
  <c r="R302" i="7"/>
  <c r="T302" i="7"/>
  <c r="BF302" i="7"/>
  <c r="BG302" i="7"/>
  <c r="BH302" i="7"/>
  <c r="BI302" i="7"/>
  <c r="BK302" i="7"/>
  <c r="J303" i="7"/>
  <c r="BE303" i="7"/>
  <c r="P303" i="7"/>
  <c r="R303" i="7"/>
  <c r="T303" i="7"/>
  <c r="BF303" i="7"/>
  <c r="BG303" i="7"/>
  <c r="BH303" i="7"/>
  <c r="BI303" i="7"/>
  <c r="BK303" i="7"/>
  <c r="J305" i="7"/>
  <c r="BE305" i="7"/>
  <c r="P305" i="7"/>
  <c r="R305" i="7"/>
  <c r="R304" i="7"/>
  <c r="T305" i="7"/>
  <c r="BF305" i="7"/>
  <c r="BG305" i="7"/>
  <c r="BH305" i="7"/>
  <c r="BI305" i="7"/>
  <c r="BK305" i="7"/>
  <c r="BK304" i="7"/>
  <c r="J304" i="7"/>
  <c r="J101" i="7"/>
  <c r="J310" i="7"/>
  <c r="P310" i="7"/>
  <c r="R310" i="7"/>
  <c r="T310" i="7"/>
  <c r="BE310" i="7"/>
  <c r="BF310" i="7"/>
  <c r="BG310" i="7"/>
  <c r="BH310" i="7"/>
  <c r="BI310" i="7"/>
  <c r="BK310" i="7"/>
  <c r="J312" i="7"/>
  <c r="P312" i="7"/>
  <c r="R312" i="7"/>
  <c r="T312" i="7"/>
  <c r="BE312" i="7"/>
  <c r="BF312" i="7"/>
  <c r="BG312" i="7"/>
  <c r="BH312" i="7"/>
  <c r="BI312" i="7"/>
  <c r="BK312" i="7"/>
  <c r="J313" i="7"/>
  <c r="BE313" i="7"/>
  <c r="P313" i="7"/>
  <c r="R313" i="7"/>
  <c r="T313" i="7"/>
  <c r="T304" i="7"/>
  <c r="BF313" i="7"/>
  <c r="BG313" i="7"/>
  <c r="BH313" i="7"/>
  <c r="BI313" i="7"/>
  <c r="BK313" i="7"/>
  <c r="J314" i="7"/>
  <c r="BE314" i="7"/>
  <c r="P314" i="7"/>
  <c r="R314" i="7"/>
  <c r="T314" i="7"/>
  <c r="BF314" i="7"/>
  <c r="BG314" i="7"/>
  <c r="BH314" i="7"/>
  <c r="BI314" i="7"/>
  <c r="BK314" i="7"/>
  <c r="J319" i="7"/>
  <c r="BE319" i="7"/>
  <c r="P319" i="7"/>
  <c r="R319" i="7"/>
  <c r="R318" i="7"/>
  <c r="T319" i="7"/>
  <c r="T318" i="7"/>
  <c r="BF319" i="7"/>
  <c r="BG319" i="7"/>
  <c r="BH319" i="7"/>
  <c r="BI319" i="7"/>
  <c r="BK319" i="7"/>
  <c r="J324" i="7"/>
  <c r="BE324" i="7"/>
  <c r="P324" i="7"/>
  <c r="P318" i="7"/>
  <c r="R324" i="7"/>
  <c r="T324" i="7"/>
  <c r="BF324" i="7"/>
  <c r="BG324" i="7"/>
  <c r="BH324" i="7"/>
  <c r="BI324" i="7"/>
  <c r="BK324" i="7"/>
  <c r="J328" i="7"/>
  <c r="P328" i="7"/>
  <c r="R328" i="7"/>
  <c r="T328" i="7"/>
  <c r="BE328" i="7"/>
  <c r="BF328" i="7"/>
  <c r="BG328" i="7"/>
  <c r="BH328" i="7"/>
  <c r="BI328" i="7"/>
  <c r="BK328" i="7"/>
  <c r="J331" i="7"/>
  <c r="P331" i="7"/>
  <c r="R331" i="7"/>
  <c r="T331" i="7"/>
  <c r="BE331" i="7"/>
  <c r="BF331" i="7"/>
  <c r="BG331" i="7"/>
  <c r="BH331" i="7"/>
  <c r="BI331" i="7"/>
  <c r="BK331" i="7"/>
  <c r="BK318" i="7"/>
  <c r="J318" i="7"/>
  <c r="J102" i="7"/>
  <c r="R333" i="7"/>
  <c r="J334" i="7"/>
  <c r="P334" i="7"/>
  <c r="P333" i="7"/>
  <c r="R334" i="7"/>
  <c r="T334" i="7"/>
  <c r="BE334" i="7"/>
  <c r="BF334" i="7"/>
  <c r="BG334" i="7"/>
  <c r="BH334" i="7"/>
  <c r="BI334" i="7"/>
  <c r="BK334" i="7"/>
  <c r="BK333" i="7"/>
  <c r="J333" i="7"/>
  <c r="J103" i="7"/>
  <c r="J335" i="7"/>
  <c r="BE335" i="7"/>
  <c r="P335" i="7"/>
  <c r="R335" i="7"/>
  <c r="T335" i="7"/>
  <c r="T333" i="7"/>
  <c r="BF335" i="7"/>
  <c r="BG335" i="7"/>
  <c r="BH335" i="7"/>
  <c r="BI335" i="7"/>
  <c r="BK335" i="7"/>
  <c r="P336" i="7"/>
  <c r="P337" i="7"/>
  <c r="BK337" i="7"/>
  <c r="J338" i="7"/>
  <c r="P338" i="7"/>
  <c r="R338" i="7"/>
  <c r="T338" i="7"/>
  <c r="T337" i="7"/>
  <c r="T336" i="7"/>
  <c r="BE338" i="7"/>
  <c r="BF338" i="7"/>
  <c r="BG338" i="7"/>
  <c r="BH338" i="7"/>
  <c r="BI338" i="7"/>
  <c r="BK338" i="7"/>
  <c r="J340" i="7"/>
  <c r="P340" i="7"/>
  <c r="R340" i="7"/>
  <c r="R337" i="7"/>
  <c r="R336" i="7"/>
  <c r="T340" i="7"/>
  <c r="BE340" i="7"/>
  <c r="BF340" i="7"/>
  <c r="BG340" i="7"/>
  <c r="BH340" i="7"/>
  <c r="BI340" i="7"/>
  <c r="BK340" i="7"/>
  <c r="J341" i="7"/>
  <c r="BE341" i="7"/>
  <c r="P341" i="7"/>
  <c r="R341" i="7"/>
  <c r="T341" i="7"/>
  <c r="BF341" i="7"/>
  <c r="BG341" i="7"/>
  <c r="BH341" i="7"/>
  <c r="BI341" i="7"/>
  <c r="BK341" i="7"/>
  <c r="J345" i="7"/>
  <c r="P345" i="7"/>
  <c r="R345" i="7"/>
  <c r="T345" i="7"/>
  <c r="T344" i="7"/>
  <c r="T343" i="7"/>
  <c r="BE345" i="7"/>
  <c r="BF345" i="7"/>
  <c r="BG345" i="7"/>
  <c r="BH345" i="7"/>
  <c r="BI345" i="7"/>
  <c r="BK345" i="7"/>
  <c r="J348" i="7"/>
  <c r="P348" i="7"/>
  <c r="R348" i="7"/>
  <c r="R344" i="7"/>
  <c r="R343" i="7"/>
  <c r="T348" i="7"/>
  <c r="BE348" i="7"/>
  <c r="BF348" i="7"/>
  <c r="BG348" i="7"/>
  <c r="BH348" i="7"/>
  <c r="BI348" i="7"/>
  <c r="BK348" i="7"/>
  <c r="J350" i="7"/>
  <c r="BE350" i="7"/>
  <c r="P350" i="7"/>
  <c r="R350" i="7"/>
  <c r="T350" i="7"/>
  <c r="BF350" i="7"/>
  <c r="BG350" i="7"/>
  <c r="BH350" i="7"/>
  <c r="BI350" i="7"/>
  <c r="BK350" i="7"/>
  <c r="J353" i="7"/>
  <c r="BE353" i="7"/>
  <c r="P353" i="7"/>
  <c r="P344" i="7"/>
  <c r="P343" i="7"/>
  <c r="R353" i="7"/>
  <c r="T353" i="7"/>
  <c r="BF353" i="7"/>
  <c r="BG353" i="7"/>
  <c r="BH353" i="7"/>
  <c r="BI353" i="7"/>
  <c r="BK353" i="7"/>
  <c r="BK344" i="7"/>
  <c r="J12" i="8"/>
  <c r="J89" i="8"/>
  <c r="J17" i="8"/>
  <c r="E18" i="8"/>
  <c r="J18" i="8"/>
  <c r="J35" i="8"/>
  <c r="AX101" i="1"/>
  <c r="J36" i="8"/>
  <c r="AY101" i="1"/>
  <c r="J37" i="8"/>
  <c r="E85" i="8"/>
  <c r="E87" i="8"/>
  <c r="F89" i="8"/>
  <c r="F91" i="8"/>
  <c r="J91" i="8"/>
  <c r="F92" i="8"/>
  <c r="J92" i="8"/>
  <c r="E114" i="8"/>
  <c r="E116" i="8"/>
  <c r="F118" i="8"/>
  <c r="J118" i="8"/>
  <c r="F120" i="8"/>
  <c r="J120" i="8"/>
  <c r="F121" i="8"/>
  <c r="J121" i="8"/>
  <c r="P125" i="8"/>
  <c r="P126" i="8"/>
  <c r="BK126" i="8"/>
  <c r="J127" i="8"/>
  <c r="P127" i="8"/>
  <c r="R127" i="8"/>
  <c r="R126" i="8"/>
  <c r="R125" i="8"/>
  <c r="T127" i="8"/>
  <c r="T126" i="8"/>
  <c r="T125" i="8"/>
  <c r="BE127" i="8"/>
  <c r="BF127" i="8"/>
  <c r="BG127" i="8"/>
  <c r="BH127" i="8"/>
  <c r="BI127" i="8"/>
  <c r="BK127" i="8"/>
  <c r="J131" i="8"/>
  <c r="BE131" i="8"/>
  <c r="P131" i="8"/>
  <c r="R131" i="8"/>
  <c r="T131" i="8"/>
  <c r="BF131" i="8"/>
  <c r="BG131" i="8"/>
  <c r="BH131" i="8"/>
  <c r="BI131" i="8"/>
  <c r="BK131" i="8"/>
  <c r="J133" i="8"/>
  <c r="P133" i="8"/>
  <c r="R133" i="8"/>
  <c r="R130" i="8"/>
  <c r="R129" i="8"/>
  <c r="T133" i="8"/>
  <c r="BE133" i="8"/>
  <c r="BF133" i="8"/>
  <c r="BG133" i="8"/>
  <c r="BH133" i="8"/>
  <c r="BI133" i="8"/>
  <c r="BK133" i="8"/>
  <c r="J135" i="8"/>
  <c r="P135" i="8"/>
  <c r="R135" i="8"/>
  <c r="T135" i="8"/>
  <c r="BE135" i="8"/>
  <c r="BF135" i="8"/>
  <c r="BG135" i="8"/>
  <c r="BH135" i="8"/>
  <c r="BI135" i="8"/>
  <c r="BK135" i="8"/>
  <c r="J137" i="8"/>
  <c r="BE137" i="8"/>
  <c r="P137" i="8"/>
  <c r="R137" i="8"/>
  <c r="T137" i="8"/>
  <c r="BF137" i="8"/>
  <c r="BG137" i="8"/>
  <c r="BH137" i="8"/>
  <c r="BI137" i="8"/>
  <c r="BK137" i="8"/>
  <c r="J139" i="8"/>
  <c r="BE139" i="8"/>
  <c r="P139" i="8"/>
  <c r="R139" i="8"/>
  <c r="T139" i="8"/>
  <c r="BF139" i="8"/>
  <c r="BG139" i="8"/>
  <c r="BH139" i="8"/>
  <c r="BI139" i="8"/>
  <c r="BK139" i="8"/>
  <c r="J140" i="8"/>
  <c r="P140" i="8"/>
  <c r="R140" i="8"/>
  <c r="T140" i="8"/>
  <c r="BE140" i="8"/>
  <c r="BF140" i="8"/>
  <c r="BG140" i="8"/>
  <c r="BH140" i="8"/>
  <c r="BI140" i="8"/>
  <c r="BK140" i="8"/>
  <c r="J142" i="8"/>
  <c r="P142" i="8"/>
  <c r="R142" i="8"/>
  <c r="T142" i="8"/>
  <c r="BE142" i="8"/>
  <c r="BF142" i="8"/>
  <c r="BG142" i="8"/>
  <c r="BH142" i="8"/>
  <c r="BI142" i="8"/>
  <c r="BK142" i="8"/>
  <c r="J144" i="8"/>
  <c r="BE144" i="8"/>
  <c r="P144" i="8"/>
  <c r="R144" i="8"/>
  <c r="T144" i="8"/>
  <c r="BF144" i="8"/>
  <c r="BG144" i="8"/>
  <c r="BH144" i="8"/>
  <c r="BI144" i="8"/>
  <c r="BK144" i="8"/>
  <c r="J146" i="8"/>
  <c r="BE146" i="8"/>
  <c r="P146" i="8"/>
  <c r="R146" i="8"/>
  <c r="T146" i="8"/>
  <c r="BF146" i="8"/>
  <c r="BG146" i="8"/>
  <c r="BH146" i="8"/>
  <c r="BI146" i="8"/>
  <c r="BK146" i="8"/>
  <c r="J148" i="8"/>
  <c r="P148" i="8"/>
  <c r="R148" i="8"/>
  <c r="T148" i="8"/>
  <c r="BE148" i="8"/>
  <c r="BF148" i="8"/>
  <c r="BG148" i="8"/>
  <c r="BH148" i="8"/>
  <c r="BI148" i="8"/>
  <c r="BK148" i="8"/>
  <c r="J150" i="8"/>
  <c r="P150" i="8"/>
  <c r="R150" i="8"/>
  <c r="T150" i="8"/>
  <c r="BE150" i="8"/>
  <c r="BF150" i="8"/>
  <c r="BG150" i="8"/>
  <c r="BH150" i="8"/>
  <c r="BI150" i="8"/>
  <c r="BK150" i="8"/>
  <c r="J152" i="8"/>
  <c r="BE152" i="8"/>
  <c r="P152" i="8"/>
  <c r="R152" i="8"/>
  <c r="T152" i="8"/>
  <c r="BF152" i="8"/>
  <c r="BG152" i="8"/>
  <c r="BH152" i="8"/>
  <c r="BI152" i="8"/>
  <c r="BK152" i="8"/>
  <c r="J154" i="8"/>
  <c r="BE154" i="8"/>
  <c r="P154" i="8"/>
  <c r="R154" i="8"/>
  <c r="T154" i="8"/>
  <c r="BF154" i="8"/>
  <c r="BG154" i="8"/>
  <c r="BH154" i="8"/>
  <c r="BI154" i="8"/>
  <c r="BK154" i="8"/>
  <c r="J155" i="8"/>
  <c r="P155" i="8"/>
  <c r="R155" i="8"/>
  <c r="T155" i="8"/>
  <c r="BE155" i="8"/>
  <c r="BF155" i="8"/>
  <c r="BG155" i="8"/>
  <c r="BH155" i="8"/>
  <c r="BI155" i="8"/>
  <c r="BK155" i="8"/>
  <c r="J156" i="8"/>
  <c r="P156" i="8"/>
  <c r="R156" i="8"/>
  <c r="T156" i="8"/>
  <c r="BE156" i="8"/>
  <c r="BF156" i="8"/>
  <c r="BG156" i="8"/>
  <c r="BH156" i="8"/>
  <c r="BI156" i="8"/>
  <c r="BK156" i="8"/>
  <c r="J157" i="8"/>
  <c r="BE157" i="8"/>
  <c r="P157" i="8"/>
  <c r="R157" i="8"/>
  <c r="T157" i="8"/>
  <c r="BF157" i="8"/>
  <c r="BG157" i="8"/>
  <c r="BH157" i="8"/>
  <c r="BI157" i="8"/>
  <c r="BK157" i="8"/>
  <c r="J159" i="8"/>
  <c r="BE159" i="8"/>
  <c r="P159" i="8"/>
  <c r="R159" i="8"/>
  <c r="T159" i="8"/>
  <c r="BF159" i="8"/>
  <c r="BG159" i="8"/>
  <c r="BH159" i="8"/>
  <c r="BI159" i="8"/>
  <c r="BK159" i="8"/>
  <c r="J161" i="8"/>
  <c r="P161" i="8"/>
  <c r="R161" i="8"/>
  <c r="T161" i="8"/>
  <c r="BE161" i="8"/>
  <c r="BF161" i="8"/>
  <c r="BG161" i="8"/>
  <c r="BH161" i="8"/>
  <c r="BI161" i="8"/>
  <c r="BK161" i="8"/>
  <c r="J162" i="8"/>
  <c r="P162" i="8"/>
  <c r="R162" i="8"/>
  <c r="T162" i="8"/>
  <c r="BE162" i="8"/>
  <c r="BF162" i="8"/>
  <c r="BG162" i="8"/>
  <c r="BH162" i="8"/>
  <c r="BI162" i="8"/>
  <c r="BK162" i="8"/>
  <c r="J163" i="8"/>
  <c r="BE163" i="8"/>
  <c r="P163" i="8"/>
  <c r="R163" i="8"/>
  <c r="T163" i="8"/>
  <c r="BF163" i="8"/>
  <c r="BG163" i="8"/>
  <c r="BH163" i="8"/>
  <c r="BI163" i="8"/>
  <c r="BK163" i="8"/>
  <c r="J166" i="8"/>
  <c r="P166" i="8"/>
  <c r="P165" i="8"/>
  <c r="R166" i="8"/>
  <c r="R165" i="8"/>
  <c r="T166" i="8"/>
  <c r="BE166" i="8"/>
  <c r="BF166" i="8"/>
  <c r="BG166" i="8"/>
  <c r="BH166" i="8"/>
  <c r="BI166" i="8"/>
  <c r="BK166" i="8"/>
  <c r="BK165" i="8"/>
  <c r="J168" i="8"/>
  <c r="P168" i="8"/>
  <c r="R168" i="8"/>
  <c r="T168" i="8"/>
  <c r="BE168" i="8"/>
  <c r="BF168" i="8"/>
  <c r="BG168" i="8"/>
  <c r="BH168" i="8"/>
  <c r="BI168" i="8"/>
  <c r="BK168" i="8"/>
  <c r="J169" i="8"/>
  <c r="BE169" i="8"/>
  <c r="P169" i="8"/>
  <c r="R169" i="8"/>
  <c r="T169" i="8"/>
  <c r="BF169" i="8"/>
  <c r="BG169" i="8"/>
  <c r="BH169" i="8"/>
  <c r="BI169" i="8"/>
  <c r="BK169" i="8"/>
  <c r="J171" i="8"/>
  <c r="BE171" i="8"/>
  <c r="P171" i="8"/>
  <c r="R171" i="8"/>
  <c r="T171" i="8"/>
  <c r="T165" i="8"/>
  <c r="BF171" i="8"/>
  <c r="BG171" i="8"/>
  <c r="BH171" i="8"/>
  <c r="BI171" i="8"/>
  <c r="BK171" i="8"/>
  <c r="J172" i="8"/>
  <c r="P172" i="8"/>
  <c r="R172" i="8"/>
  <c r="T172" i="8"/>
  <c r="BE172" i="8"/>
  <c r="BF172" i="8"/>
  <c r="BG172" i="8"/>
  <c r="BH172" i="8"/>
  <c r="BI172" i="8"/>
  <c r="BK172" i="8"/>
  <c r="J173" i="8"/>
  <c r="P173" i="8"/>
  <c r="R173" i="8"/>
  <c r="T173" i="8"/>
  <c r="BE173" i="8"/>
  <c r="BF173" i="8"/>
  <c r="BG173" i="8"/>
  <c r="BH173" i="8"/>
  <c r="BI173" i="8"/>
  <c r="BK173" i="8"/>
  <c r="J174" i="8"/>
  <c r="BE174" i="8"/>
  <c r="P174" i="8"/>
  <c r="R174" i="8"/>
  <c r="T174" i="8"/>
  <c r="BF174" i="8"/>
  <c r="BG174" i="8"/>
  <c r="BH174" i="8"/>
  <c r="BI174" i="8"/>
  <c r="BK174" i="8"/>
  <c r="J177" i="8"/>
  <c r="BE177" i="8"/>
  <c r="P177" i="8"/>
  <c r="R177" i="8"/>
  <c r="T177" i="8"/>
  <c r="BF177" i="8"/>
  <c r="BG177" i="8"/>
  <c r="BH177" i="8"/>
  <c r="BI177" i="8"/>
  <c r="BK177" i="8"/>
  <c r="P179" i="8"/>
  <c r="J180" i="8"/>
  <c r="P180" i="8"/>
  <c r="R180" i="8"/>
  <c r="T180" i="8"/>
  <c r="T179" i="8"/>
  <c r="BE180" i="8"/>
  <c r="BF180" i="8"/>
  <c r="BG180" i="8"/>
  <c r="BH180" i="8"/>
  <c r="BI180" i="8"/>
  <c r="BK180" i="8"/>
  <c r="BK179" i="8"/>
  <c r="J179" i="8"/>
  <c r="J103" i="8"/>
  <c r="J182" i="8"/>
  <c r="P182" i="8"/>
  <c r="R182" i="8"/>
  <c r="R179" i="8"/>
  <c r="T182" i="8"/>
  <c r="BE182" i="8"/>
  <c r="BF182" i="8"/>
  <c r="BG182" i="8"/>
  <c r="BH182" i="8"/>
  <c r="BI182" i="8"/>
  <c r="BK182" i="8"/>
  <c r="J183" i="8"/>
  <c r="BE183" i="8"/>
  <c r="P183" i="8"/>
  <c r="R183" i="8"/>
  <c r="T183" i="8"/>
  <c r="BF183" i="8"/>
  <c r="BG183" i="8"/>
  <c r="BH183" i="8"/>
  <c r="BI183" i="8"/>
  <c r="BK183" i="8"/>
  <c r="J184" i="8"/>
  <c r="P184" i="8"/>
  <c r="R184" i="8"/>
  <c r="T184" i="8"/>
  <c r="BE184" i="8"/>
  <c r="BF184" i="8"/>
  <c r="BG184" i="8"/>
  <c r="BH184" i="8"/>
  <c r="BI184" i="8"/>
  <c r="BK184" i="8"/>
  <c r="J186" i="8"/>
  <c r="P186" i="8"/>
  <c r="R186" i="8"/>
  <c r="R185" i="8"/>
  <c r="T186" i="8"/>
  <c r="T185" i="8"/>
  <c r="BE186" i="8"/>
  <c r="BF186" i="8"/>
  <c r="BG186" i="8"/>
  <c r="BH186" i="8"/>
  <c r="BI186" i="8"/>
  <c r="BK186" i="8"/>
  <c r="J189" i="8"/>
  <c r="BE189" i="8"/>
  <c r="P189" i="8"/>
  <c r="R189" i="8"/>
  <c r="T189" i="8"/>
  <c r="BF189" i="8"/>
  <c r="BG189" i="8"/>
  <c r="BH189" i="8"/>
  <c r="BI189" i="8"/>
  <c r="BK189" i="8"/>
  <c r="J191" i="8"/>
  <c r="BE191" i="8"/>
  <c r="P191" i="8"/>
  <c r="R191" i="8"/>
  <c r="T191" i="8"/>
  <c r="BF191" i="8"/>
  <c r="BG191" i="8"/>
  <c r="BH191" i="8"/>
  <c r="BI191" i="8"/>
  <c r="BK191" i="8"/>
  <c r="J194" i="8"/>
  <c r="P194" i="8"/>
  <c r="R194" i="8"/>
  <c r="T194" i="8"/>
  <c r="BE194" i="8"/>
  <c r="BF194" i="8"/>
  <c r="BG194" i="8"/>
  <c r="BH194" i="8"/>
  <c r="BI194" i="8"/>
  <c r="BK194" i="8"/>
  <c r="J198" i="8"/>
  <c r="P198" i="8"/>
  <c r="R198" i="8"/>
  <c r="T198" i="8"/>
  <c r="BE198" i="8"/>
  <c r="BF198" i="8"/>
  <c r="BG198" i="8"/>
  <c r="BH198" i="8"/>
  <c r="BI198" i="8"/>
  <c r="BK198" i="8"/>
  <c r="J201" i="8"/>
  <c r="BE201" i="8"/>
  <c r="P201" i="8"/>
  <c r="R201" i="8"/>
  <c r="T201" i="8"/>
  <c r="BF201" i="8"/>
  <c r="BG201" i="8"/>
  <c r="BH201" i="8"/>
  <c r="BI201" i="8"/>
  <c r="BK201" i="8"/>
  <c r="J203" i="8"/>
  <c r="BE203" i="8"/>
  <c r="P203" i="8"/>
  <c r="R203" i="8"/>
  <c r="T203" i="8"/>
  <c r="BF203" i="8"/>
  <c r="BG203" i="8"/>
  <c r="BH203" i="8"/>
  <c r="BI203" i="8"/>
  <c r="BK203" i="8"/>
  <c r="J206" i="8"/>
  <c r="P206" i="8"/>
  <c r="R206" i="8"/>
  <c r="T206" i="8"/>
  <c r="BE206" i="8"/>
  <c r="BF206" i="8"/>
  <c r="BG206" i="8"/>
  <c r="BH206" i="8"/>
  <c r="BI206" i="8"/>
  <c r="BK206" i="8"/>
  <c r="BK185" i="8"/>
  <c r="J185" i="8"/>
  <c r="J104" i="8"/>
  <c r="J208" i="8"/>
  <c r="P208" i="8"/>
  <c r="R208" i="8"/>
  <c r="T208" i="8"/>
  <c r="BE208" i="8"/>
  <c r="BF208" i="8"/>
  <c r="BG208" i="8"/>
  <c r="BH208" i="8"/>
  <c r="BI208" i="8"/>
  <c r="BK208" i="8"/>
  <c r="J210" i="8"/>
  <c r="BE210" i="8"/>
  <c r="P210" i="8"/>
  <c r="R210" i="8"/>
  <c r="T210" i="8"/>
  <c r="BF210" i="8"/>
  <c r="BG210" i="8"/>
  <c r="BH210" i="8"/>
  <c r="BI210" i="8"/>
  <c r="BK210" i="8"/>
  <c r="J212" i="8"/>
  <c r="BE212" i="8"/>
  <c r="P212" i="8"/>
  <c r="R212" i="8"/>
  <c r="T212" i="8"/>
  <c r="BF212" i="8"/>
  <c r="BG212" i="8"/>
  <c r="BH212" i="8"/>
  <c r="BI212" i="8"/>
  <c r="BK212" i="8"/>
  <c r="J12" i="9"/>
  <c r="J89" i="9"/>
  <c r="J17" i="9"/>
  <c r="E18" i="9"/>
  <c r="F117" i="9"/>
  <c r="J18" i="9"/>
  <c r="F35" i="9"/>
  <c r="BB102" i="1"/>
  <c r="J35" i="9"/>
  <c r="AX102" i="1"/>
  <c r="J36" i="9"/>
  <c r="AY102" i="1"/>
  <c r="J37" i="9"/>
  <c r="E85" i="9"/>
  <c r="E87" i="9"/>
  <c r="F89" i="9"/>
  <c r="F91" i="9"/>
  <c r="J91" i="9"/>
  <c r="F92" i="9"/>
  <c r="J92" i="9"/>
  <c r="E110" i="9"/>
  <c r="E112" i="9"/>
  <c r="F114" i="9"/>
  <c r="J114" i="9"/>
  <c r="F116" i="9"/>
  <c r="J116" i="9"/>
  <c r="J117" i="9"/>
  <c r="R122" i="9"/>
  <c r="R121" i="9"/>
  <c r="J123" i="9"/>
  <c r="BE123" i="9"/>
  <c r="P123" i="9"/>
  <c r="R123" i="9"/>
  <c r="T123" i="9"/>
  <c r="BF123" i="9"/>
  <c r="BG123" i="9"/>
  <c r="BH123" i="9"/>
  <c r="BI123" i="9"/>
  <c r="F37" i="9"/>
  <c r="BD102" i="1"/>
  <c r="BK123" i="9"/>
  <c r="J125" i="9"/>
  <c r="BE125" i="9"/>
  <c r="P125" i="9"/>
  <c r="R125" i="9"/>
  <c r="T125" i="9"/>
  <c r="T122" i="9"/>
  <c r="T121" i="9"/>
  <c r="BF125" i="9"/>
  <c r="BG125" i="9"/>
  <c r="BH125" i="9"/>
  <c r="BI125" i="9"/>
  <c r="BK125" i="9"/>
  <c r="J127" i="9"/>
  <c r="P127" i="9"/>
  <c r="P122" i="9"/>
  <c r="P121" i="9"/>
  <c r="P120" i="9"/>
  <c r="AU102" i="1"/>
  <c r="R127" i="9"/>
  <c r="T127" i="9"/>
  <c r="BE127" i="9"/>
  <c r="BF127" i="9"/>
  <c r="BG127" i="9"/>
  <c r="BH127" i="9"/>
  <c r="BI127" i="9"/>
  <c r="BK127" i="9"/>
  <c r="J129" i="9"/>
  <c r="P129" i="9"/>
  <c r="R129" i="9"/>
  <c r="T129" i="9"/>
  <c r="BE129" i="9"/>
  <c r="BF129" i="9"/>
  <c r="BG129" i="9"/>
  <c r="BH129" i="9"/>
  <c r="BI129" i="9"/>
  <c r="BK129" i="9"/>
  <c r="J133" i="9"/>
  <c r="BE133" i="9"/>
  <c r="P133" i="9"/>
  <c r="R133" i="9"/>
  <c r="R132" i="9"/>
  <c r="R131" i="9"/>
  <c r="T133" i="9"/>
  <c r="T132" i="9"/>
  <c r="T131" i="9"/>
  <c r="BF133" i="9"/>
  <c r="BG133" i="9"/>
  <c r="BH133" i="9"/>
  <c r="BI133" i="9"/>
  <c r="BK133" i="9"/>
  <c r="J135" i="9"/>
  <c r="P135" i="9"/>
  <c r="P132" i="9"/>
  <c r="P131" i="9"/>
  <c r="R135" i="9"/>
  <c r="T135" i="9"/>
  <c r="BE135" i="9"/>
  <c r="BF135" i="9"/>
  <c r="BG135" i="9"/>
  <c r="BH135" i="9"/>
  <c r="BI135" i="9"/>
  <c r="BK135" i="9"/>
  <c r="J12" i="10"/>
  <c r="J89" i="10"/>
  <c r="J17" i="10"/>
  <c r="E18" i="10"/>
  <c r="F92" i="10"/>
  <c r="J18" i="10"/>
  <c r="F34" i="10"/>
  <c r="BA103" i="1"/>
  <c r="J35" i="10"/>
  <c r="AX103" i="1"/>
  <c r="J36" i="10"/>
  <c r="AY103" i="1"/>
  <c r="J37" i="10"/>
  <c r="E85" i="10"/>
  <c r="E87" i="10"/>
  <c r="F89" i="10"/>
  <c r="F91" i="10"/>
  <c r="J91" i="10"/>
  <c r="J92" i="10"/>
  <c r="E109" i="10"/>
  <c r="E111" i="10"/>
  <c r="F113" i="10"/>
  <c r="J113" i="10"/>
  <c r="F115" i="10"/>
  <c r="J115" i="10"/>
  <c r="F116" i="10"/>
  <c r="J116" i="10"/>
  <c r="P121" i="10"/>
  <c r="P120" i="10"/>
  <c r="P119" i="10"/>
  <c r="AU103" i="1"/>
  <c r="J122" i="10"/>
  <c r="P122" i="10"/>
  <c r="R122" i="10"/>
  <c r="T122" i="10"/>
  <c r="T121" i="10"/>
  <c r="BE122" i="10"/>
  <c r="BF122" i="10"/>
  <c r="J34" i="10"/>
  <c r="AW103" i="1"/>
  <c r="BG122" i="10"/>
  <c r="BH122" i="10"/>
  <c r="F36" i="10"/>
  <c r="BC103" i="1"/>
  <c r="BI122" i="10"/>
  <c r="F37" i="10"/>
  <c r="BD103" i="1"/>
  <c r="BK122" i="10"/>
  <c r="BK121" i="10"/>
  <c r="J125" i="10"/>
  <c r="P125" i="10"/>
  <c r="R125" i="10"/>
  <c r="T125" i="10"/>
  <c r="BE125" i="10"/>
  <c r="BF125" i="10"/>
  <c r="BG125" i="10"/>
  <c r="BH125" i="10"/>
  <c r="BI125" i="10"/>
  <c r="BK125" i="10"/>
  <c r="J127" i="10"/>
  <c r="BE127" i="10"/>
  <c r="P127" i="10"/>
  <c r="R127" i="10"/>
  <c r="T127" i="10"/>
  <c r="BF127" i="10"/>
  <c r="BG127" i="10"/>
  <c r="BH127" i="10"/>
  <c r="BI127" i="10"/>
  <c r="BK127" i="10"/>
  <c r="J129" i="10"/>
  <c r="P129" i="10"/>
  <c r="R129" i="10"/>
  <c r="T129" i="10"/>
  <c r="BE129" i="10"/>
  <c r="BF129" i="10"/>
  <c r="BG129" i="10"/>
  <c r="BH129" i="10"/>
  <c r="BI129" i="10"/>
  <c r="BK129" i="10"/>
  <c r="J131" i="10"/>
  <c r="P131" i="10"/>
  <c r="R131" i="10"/>
  <c r="T131" i="10"/>
  <c r="BE131" i="10"/>
  <c r="BF131" i="10"/>
  <c r="BG131" i="10"/>
  <c r="BH131" i="10"/>
  <c r="BI131" i="10"/>
  <c r="BK131" i="10"/>
  <c r="J134" i="10"/>
  <c r="P134" i="10"/>
  <c r="R134" i="10"/>
  <c r="T134" i="10"/>
  <c r="BE134" i="10"/>
  <c r="BF134" i="10"/>
  <c r="BG134" i="10"/>
  <c r="BH134" i="10"/>
  <c r="BI134" i="10"/>
  <c r="BK134" i="10"/>
  <c r="J136" i="10"/>
  <c r="BE136" i="10"/>
  <c r="P136" i="10"/>
  <c r="R136" i="10"/>
  <c r="T136" i="10"/>
  <c r="BF136" i="10"/>
  <c r="BG136" i="10"/>
  <c r="BH136" i="10"/>
  <c r="BI136" i="10"/>
  <c r="BK136" i="10"/>
  <c r="J138" i="10"/>
  <c r="P138" i="10"/>
  <c r="R138" i="10"/>
  <c r="T138" i="10"/>
  <c r="BE138" i="10"/>
  <c r="BF138" i="10"/>
  <c r="BG138" i="10"/>
  <c r="BH138" i="10"/>
  <c r="BI138" i="10"/>
  <c r="BK138" i="10"/>
  <c r="J140" i="10"/>
  <c r="P140" i="10"/>
  <c r="R140" i="10"/>
  <c r="T140" i="10"/>
  <c r="BE140" i="10"/>
  <c r="BF140" i="10"/>
  <c r="BG140" i="10"/>
  <c r="BH140" i="10"/>
  <c r="BI140" i="10"/>
  <c r="BK140" i="10"/>
  <c r="J141" i="10"/>
  <c r="P141" i="10"/>
  <c r="R141" i="10"/>
  <c r="T141" i="10"/>
  <c r="BE141" i="10"/>
  <c r="BF141" i="10"/>
  <c r="BG141" i="10"/>
  <c r="BH141" i="10"/>
  <c r="BI141" i="10"/>
  <c r="BK141" i="10"/>
  <c r="J142" i="10"/>
  <c r="BE142" i="10"/>
  <c r="P142" i="10"/>
  <c r="R142" i="10"/>
  <c r="T142" i="10"/>
  <c r="BF142" i="10"/>
  <c r="BG142" i="10"/>
  <c r="BH142" i="10"/>
  <c r="BI142" i="10"/>
  <c r="BK142" i="10"/>
  <c r="J144" i="10"/>
  <c r="BE144" i="10"/>
  <c r="P144" i="10"/>
  <c r="R144" i="10"/>
  <c r="T144" i="10"/>
  <c r="BF144" i="10"/>
  <c r="BG144" i="10"/>
  <c r="BH144" i="10"/>
  <c r="BI144" i="10"/>
  <c r="BK144" i="10"/>
  <c r="J146" i="10"/>
  <c r="P146" i="10"/>
  <c r="R146" i="10"/>
  <c r="T146" i="10"/>
  <c r="BE146" i="10"/>
  <c r="BF146" i="10"/>
  <c r="BG146" i="10"/>
  <c r="BH146" i="10"/>
  <c r="BI146" i="10"/>
  <c r="BK146" i="10"/>
  <c r="J147" i="10"/>
  <c r="P147" i="10"/>
  <c r="R147" i="10"/>
  <c r="T147" i="10"/>
  <c r="BE147" i="10"/>
  <c r="BF147" i="10"/>
  <c r="BG147" i="10"/>
  <c r="BH147" i="10"/>
  <c r="BI147" i="10"/>
  <c r="BK147" i="10"/>
  <c r="J149" i="10"/>
  <c r="J99" i="10"/>
  <c r="P149" i="10"/>
  <c r="R149" i="10"/>
  <c r="BK149" i="10"/>
  <c r="J150" i="10"/>
  <c r="BE150" i="10"/>
  <c r="P150" i="10"/>
  <c r="R150" i="10"/>
  <c r="T150" i="10"/>
  <c r="T149" i="10"/>
  <c r="BF150" i="10"/>
  <c r="BG150" i="10"/>
  <c r="BH150" i="10"/>
  <c r="BI150" i="10"/>
  <c r="BK150" i="10"/>
  <c r="E7" i="11"/>
  <c r="J12" i="11"/>
  <c r="J17" i="11"/>
  <c r="E18" i="11"/>
  <c r="F55" i="11"/>
  <c r="J18" i="11"/>
  <c r="J35" i="11"/>
  <c r="J36" i="11"/>
  <c r="J37" i="11"/>
  <c r="E48" i="11"/>
  <c r="E50" i="11"/>
  <c r="F52" i="11"/>
  <c r="F54" i="11"/>
  <c r="J54" i="11"/>
  <c r="J55" i="11"/>
  <c r="E74" i="11"/>
  <c r="E76" i="11"/>
  <c r="F78" i="11"/>
  <c r="F80" i="11"/>
  <c r="J80" i="11"/>
  <c r="F81" i="11"/>
  <c r="J81" i="11"/>
  <c r="J87" i="11"/>
  <c r="BE87" i="11"/>
  <c r="P87" i="11"/>
  <c r="R87" i="11"/>
  <c r="T87" i="11"/>
  <c r="BF87" i="11"/>
  <c r="BG87" i="11"/>
  <c r="BH87" i="11"/>
  <c r="BI87" i="11"/>
  <c r="BK87" i="11"/>
  <c r="J90" i="11"/>
  <c r="P90" i="11"/>
  <c r="P86" i="11"/>
  <c r="R90" i="11"/>
  <c r="T90" i="11"/>
  <c r="BE90" i="11"/>
  <c r="BF90" i="11"/>
  <c r="BG90" i="11"/>
  <c r="BH90" i="11"/>
  <c r="BI90" i="11"/>
  <c r="BK90" i="11"/>
  <c r="BK86" i="11"/>
  <c r="J86" i="11"/>
  <c r="J61" i="11"/>
  <c r="J95" i="11"/>
  <c r="P95" i="11"/>
  <c r="R95" i="11"/>
  <c r="T95" i="11"/>
  <c r="BE95" i="11"/>
  <c r="BF95" i="11"/>
  <c r="BG95" i="11"/>
  <c r="BH95" i="11"/>
  <c r="BI95" i="11"/>
  <c r="BK95" i="11"/>
  <c r="J103" i="11"/>
  <c r="BE103" i="11"/>
  <c r="P103" i="11"/>
  <c r="R103" i="11"/>
  <c r="T103" i="11"/>
  <c r="BF103" i="11"/>
  <c r="J34" i="11"/>
  <c r="BG103" i="11"/>
  <c r="BH103" i="11"/>
  <c r="BI103" i="11"/>
  <c r="BK103" i="11"/>
  <c r="J106" i="11"/>
  <c r="BE106" i="11"/>
  <c r="P106" i="11"/>
  <c r="R106" i="11"/>
  <c r="T106" i="11"/>
  <c r="BF106" i="11"/>
  <c r="BG106" i="11"/>
  <c r="BH106" i="11"/>
  <c r="BI106" i="11"/>
  <c r="BK106" i="11"/>
  <c r="J109" i="11"/>
  <c r="P109" i="11"/>
  <c r="R109" i="11"/>
  <c r="T109" i="11"/>
  <c r="BE109" i="11"/>
  <c r="BF109" i="11"/>
  <c r="BG109" i="11"/>
  <c r="BH109" i="11"/>
  <c r="BI109" i="11"/>
  <c r="BK109" i="11"/>
  <c r="J113" i="11"/>
  <c r="P113" i="11"/>
  <c r="R113" i="11"/>
  <c r="T113" i="11"/>
  <c r="BE113" i="11"/>
  <c r="BF113" i="11"/>
  <c r="BG113" i="11"/>
  <c r="BH113" i="11"/>
  <c r="BI113" i="11"/>
  <c r="BK113" i="11"/>
  <c r="J116" i="11"/>
  <c r="BE116" i="11"/>
  <c r="P116" i="11"/>
  <c r="R116" i="11"/>
  <c r="T116" i="11"/>
  <c r="BF116" i="11"/>
  <c r="BG116" i="11"/>
  <c r="BH116" i="11"/>
  <c r="BI116" i="11"/>
  <c r="BK116" i="11"/>
  <c r="J118" i="11"/>
  <c r="BE118" i="11"/>
  <c r="P118" i="11"/>
  <c r="R118" i="11"/>
  <c r="T118" i="11"/>
  <c r="BF118" i="11"/>
  <c r="BG118" i="11"/>
  <c r="BH118" i="11"/>
  <c r="BI118" i="11"/>
  <c r="BK118" i="11"/>
  <c r="J123" i="11"/>
  <c r="P123" i="11"/>
  <c r="R123" i="11"/>
  <c r="T123" i="11"/>
  <c r="BE123" i="11"/>
  <c r="BF123" i="11"/>
  <c r="BG123" i="11"/>
  <c r="BH123" i="11"/>
  <c r="BI123" i="11"/>
  <c r="BK123" i="11"/>
  <c r="J127" i="11"/>
  <c r="P127" i="11"/>
  <c r="R127" i="11"/>
  <c r="R122" i="11"/>
  <c r="T127" i="11"/>
  <c r="BE127" i="11"/>
  <c r="BF127" i="11"/>
  <c r="BG127" i="11"/>
  <c r="BH127" i="11"/>
  <c r="BI127" i="11"/>
  <c r="BK127" i="11"/>
  <c r="J129" i="11"/>
  <c r="BE129" i="11"/>
  <c r="P129" i="11"/>
  <c r="R129" i="11"/>
  <c r="T129" i="11"/>
  <c r="BF129" i="11"/>
  <c r="BG129" i="11"/>
  <c r="BH129" i="11"/>
  <c r="BI129" i="11"/>
  <c r="BK129" i="11"/>
  <c r="J132" i="11"/>
  <c r="BE132" i="11"/>
  <c r="P132" i="11"/>
  <c r="R132" i="11"/>
  <c r="T132" i="11"/>
  <c r="BF132" i="11"/>
  <c r="BG132" i="11"/>
  <c r="BH132" i="11"/>
  <c r="BI132" i="11"/>
  <c r="BK132" i="11"/>
  <c r="J135" i="11"/>
  <c r="P135" i="11"/>
  <c r="P122" i="11"/>
  <c r="R135" i="11"/>
  <c r="T135" i="11"/>
  <c r="BE135" i="11"/>
  <c r="BF135" i="11"/>
  <c r="BG135" i="11"/>
  <c r="BH135" i="11"/>
  <c r="BI135" i="11"/>
  <c r="BK135" i="11"/>
  <c r="J138" i="11"/>
  <c r="P138" i="11"/>
  <c r="R138" i="11"/>
  <c r="T138" i="11"/>
  <c r="BE138" i="11"/>
  <c r="BF138" i="11"/>
  <c r="BG138" i="11"/>
  <c r="BH138" i="11"/>
  <c r="BI138" i="11"/>
  <c r="BK138" i="11"/>
  <c r="J141" i="11"/>
  <c r="BE141" i="11"/>
  <c r="P141" i="11"/>
  <c r="R141" i="11"/>
  <c r="T141" i="11"/>
  <c r="BF141" i="11"/>
  <c r="BG141" i="11"/>
  <c r="BH141" i="11"/>
  <c r="BI141" i="11"/>
  <c r="BK141" i="11"/>
  <c r="T143" i="11"/>
  <c r="J144" i="11"/>
  <c r="P144" i="11"/>
  <c r="P143" i="11"/>
  <c r="R144" i="11"/>
  <c r="T144" i="11"/>
  <c r="BE144" i="11"/>
  <c r="BF144" i="11"/>
  <c r="BG144" i="11"/>
  <c r="BH144" i="11"/>
  <c r="BI144" i="11"/>
  <c r="BK144" i="11"/>
  <c r="BK143" i="11"/>
  <c r="J143" i="11"/>
  <c r="J63" i="11"/>
  <c r="J147" i="11"/>
  <c r="P147" i="11"/>
  <c r="R147" i="11"/>
  <c r="T147" i="11"/>
  <c r="BE147" i="11"/>
  <c r="BF147" i="11"/>
  <c r="BG147" i="11"/>
  <c r="BH147" i="11"/>
  <c r="BI147" i="11"/>
  <c r="BK147" i="11"/>
  <c r="J150" i="11"/>
  <c r="BE150" i="11"/>
  <c r="P150" i="11"/>
  <c r="R150" i="11"/>
  <c r="T150" i="11"/>
  <c r="BF150" i="11"/>
  <c r="BG150" i="11"/>
  <c r="BH150" i="11"/>
  <c r="BI150" i="11"/>
  <c r="BK150" i="11"/>
  <c r="J153" i="11"/>
  <c r="J64" i="11"/>
  <c r="T153" i="11"/>
  <c r="BK153" i="11"/>
  <c r="J154" i="11"/>
  <c r="BE154" i="11"/>
  <c r="P154" i="11"/>
  <c r="P153" i="11"/>
  <c r="R154" i="11"/>
  <c r="R153" i="11"/>
  <c r="T154" i="11"/>
  <c r="BF154" i="11"/>
  <c r="BG154" i="11"/>
  <c r="BH154" i="11"/>
  <c r="BI154" i="11"/>
  <c r="BK154" i="11"/>
  <c r="E7" i="12"/>
  <c r="J12" i="12"/>
  <c r="J82" i="12"/>
  <c r="J17" i="12"/>
  <c r="E18" i="12"/>
  <c r="J18" i="12"/>
  <c r="J35" i="12"/>
  <c r="J36" i="12"/>
  <c r="J37" i="12"/>
  <c r="E48" i="12"/>
  <c r="E50" i="12"/>
  <c r="F52" i="12"/>
  <c r="J52" i="12"/>
  <c r="F54" i="12"/>
  <c r="J54" i="12"/>
  <c r="F55" i="12"/>
  <c r="J55" i="12"/>
  <c r="E78" i="12"/>
  <c r="E80" i="12"/>
  <c r="F82" i="12"/>
  <c r="F84" i="12"/>
  <c r="J84" i="12"/>
  <c r="F85" i="12"/>
  <c r="J85" i="12"/>
  <c r="BK89" i="12"/>
  <c r="BK90" i="12"/>
  <c r="J90" i="12"/>
  <c r="J61" i="12"/>
  <c r="J91" i="12"/>
  <c r="P91" i="12"/>
  <c r="R91" i="12"/>
  <c r="T91" i="12"/>
  <c r="BE91" i="12"/>
  <c r="BF91" i="12"/>
  <c r="BG91" i="12"/>
  <c r="BH91" i="12"/>
  <c r="F36" i="12"/>
  <c r="BI91" i="12"/>
  <c r="BK91" i="12"/>
  <c r="J94" i="12"/>
  <c r="BE94" i="12"/>
  <c r="P94" i="12"/>
  <c r="R94" i="12"/>
  <c r="T94" i="12"/>
  <c r="BF94" i="12"/>
  <c r="J34" i="12"/>
  <c r="BG94" i="12"/>
  <c r="BH94" i="12"/>
  <c r="BI94" i="12"/>
  <c r="BK94" i="12"/>
  <c r="J96" i="12"/>
  <c r="BE96" i="12"/>
  <c r="P96" i="12"/>
  <c r="R96" i="12"/>
  <c r="T96" i="12"/>
  <c r="BF96" i="12"/>
  <c r="BG96" i="12"/>
  <c r="BH96" i="12"/>
  <c r="BI96" i="12"/>
  <c r="BK96" i="12"/>
  <c r="J99" i="12"/>
  <c r="P99" i="12"/>
  <c r="R99" i="12"/>
  <c r="T99" i="12"/>
  <c r="BE99" i="12"/>
  <c r="BF99" i="12"/>
  <c r="BG99" i="12"/>
  <c r="BH99" i="12"/>
  <c r="BI99" i="12"/>
  <c r="BK99" i="12"/>
  <c r="J102" i="12"/>
  <c r="P102" i="12"/>
  <c r="R102" i="12"/>
  <c r="T102" i="12"/>
  <c r="BE102" i="12"/>
  <c r="BF102" i="12"/>
  <c r="BG102" i="12"/>
  <c r="BH102" i="12"/>
  <c r="BI102" i="12"/>
  <c r="BK102" i="12"/>
  <c r="J111" i="12"/>
  <c r="BE111" i="12"/>
  <c r="P111" i="12"/>
  <c r="R111" i="12"/>
  <c r="T111" i="12"/>
  <c r="BF111" i="12"/>
  <c r="BG111" i="12"/>
  <c r="BH111" i="12"/>
  <c r="BI111" i="12"/>
  <c r="BK111" i="12"/>
  <c r="J114" i="12"/>
  <c r="BE114" i="12"/>
  <c r="P114" i="12"/>
  <c r="R114" i="12"/>
  <c r="T114" i="12"/>
  <c r="BF114" i="12"/>
  <c r="BG114" i="12"/>
  <c r="BH114" i="12"/>
  <c r="BI114" i="12"/>
  <c r="BK114" i="12"/>
  <c r="J118" i="12"/>
  <c r="P118" i="12"/>
  <c r="R118" i="12"/>
  <c r="T118" i="12"/>
  <c r="BE118" i="12"/>
  <c r="BF118" i="12"/>
  <c r="BG118" i="12"/>
  <c r="BH118" i="12"/>
  <c r="BI118" i="12"/>
  <c r="BK118" i="12"/>
  <c r="J121" i="12"/>
  <c r="P121" i="12"/>
  <c r="R121" i="12"/>
  <c r="T121" i="12"/>
  <c r="BE121" i="12"/>
  <c r="BF121" i="12"/>
  <c r="BG121" i="12"/>
  <c r="BH121" i="12"/>
  <c r="BI121" i="12"/>
  <c r="BK121" i="12"/>
  <c r="J123" i="12"/>
  <c r="BE123" i="12"/>
  <c r="P123" i="12"/>
  <c r="R123" i="12"/>
  <c r="T123" i="12"/>
  <c r="BF123" i="12"/>
  <c r="BG123" i="12"/>
  <c r="BH123" i="12"/>
  <c r="BI123" i="12"/>
  <c r="BK123" i="12"/>
  <c r="R127" i="12"/>
  <c r="T127" i="12"/>
  <c r="J128" i="12"/>
  <c r="P128" i="12"/>
  <c r="P127" i="12"/>
  <c r="R128" i="12"/>
  <c r="T128" i="12"/>
  <c r="BE128" i="12"/>
  <c r="BF128" i="12"/>
  <c r="BG128" i="12"/>
  <c r="BH128" i="12"/>
  <c r="BI128" i="12"/>
  <c r="BK128" i="12"/>
  <c r="BK127" i="12"/>
  <c r="J127" i="12"/>
  <c r="J62" i="12"/>
  <c r="BK131" i="12"/>
  <c r="J131" i="12"/>
  <c r="J63" i="12"/>
  <c r="J132" i="12"/>
  <c r="P132" i="12"/>
  <c r="R132" i="12"/>
  <c r="R131" i="12"/>
  <c r="T132" i="12"/>
  <c r="BE132" i="12"/>
  <c r="BF132" i="12"/>
  <c r="BG132" i="12"/>
  <c r="BH132" i="12"/>
  <c r="BI132" i="12"/>
  <c r="BK132" i="12"/>
  <c r="J136" i="12"/>
  <c r="BE136" i="12"/>
  <c r="P136" i="12"/>
  <c r="R136" i="12"/>
  <c r="T136" i="12"/>
  <c r="BF136" i="12"/>
  <c r="BG136" i="12"/>
  <c r="BH136" i="12"/>
  <c r="BI136" i="12"/>
  <c r="BK136" i="12"/>
  <c r="J138" i="12"/>
  <c r="BE138" i="12"/>
  <c r="P138" i="12"/>
  <c r="R138" i="12"/>
  <c r="T138" i="12"/>
  <c r="T131" i="12"/>
  <c r="BF138" i="12"/>
  <c r="BG138" i="12"/>
  <c r="BH138" i="12"/>
  <c r="BI138" i="12"/>
  <c r="BK138" i="12"/>
  <c r="J142" i="12"/>
  <c r="P142" i="12"/>
  <c r="P131" i="12"/>
  <c r="R142" i="12"/>
  <c r="T142" i="12"/>
  <c r="BE142" i="12"/>
  <c r="BF142" i="12"/>
  <c r="BG142" i="12"/>
  <c r="BH142" i="12"/>
  <c r="BI142" i="12"/>
  <c r="BK142" i="12"/>
  <c r="J145" i="12"/>
  <c r="P145" i="12"/>
  <c r="R145" i="12"/>
  <c r="T145" i="12"/>
  <c r="BE145" i="12"/>
  <c r="BF145" i="12"/>
  <c r="BG145" i="12"/>
  <c r="BH145" i="12"/>
  <c r="BI145" i="12"/>
  <c r="BK145" i="12"/>
  <c r="J148" i="12"/>
  <c r="BE148" i="12"/>
  <c r="P148" i="12"/>
  <c r="R148" i="12"/>
  <c r="T148" i="12"/>
  <c r="BF148" i="12"/>
  <c r="BG148" i="12"/>
  <c r="BH148" i="12"/>
  <c r="BI148" i="12"/>
  <c r="BK148" i="12"/>
  <c r="J153" i="12"/>
  <c r="BE153" i="12"/>
  <c r="P153" i="12"/>
  <c r="R153" i="12"/>
  <c r="T153" i="12"/>
  <c r="BF153" i="12"/>
  <c r="BG153" i="12"/>
  <c r="BH153" i="12"/>
  <c r="BI153" i="12"/>
  <c r="BK153" i="12"/>
  <c r="P155" i="12"/>
  <c r="BK155" i="12"/>
  <c r="J155" i="12"/>
  <c r="J64" i="12"/>
  <c r="J156" i="12"/>
  <c r="P156" i="12"/>
  <c r="R156" i="12"/>
  <c r="T156" i="12"/>
  <c r="BE156" i="12"/>
  <c r="BF156" i="12"/>
  <c r="BG156" i="12"/>
  <c r="BH156" i="12"/>
  <c r="BI156" i="12"/>
  <c r="BK156" i="12"/>
  <c r="J159" i="12"/>
  <c r="P159" i="12"/>
  <c r="R159" i="12"/>
  <c r="R155" i="12"/>
  <c r="T159" i="12"/>
  <c r="BE159" i="12"/>
  <c r="BF159" i="12"/>
  <c r="BG159" i="12"/>
  <c r="BH159" i="12"/>
  <c r="BI159" i="12"/>
  <c r="BK159" i="12"/>
  <c r="J164" i="12"/>
  <c r="BE164" i="12"/>
  <c r="P164" i="12"/>
  <c r="R164" i="12"/>
  <c r="T164" i="12"/>
  <c r="BF164" i="12"/>
  <c r="BG164" i="12"/>
  <c r="BH164" i="12"/>
  <c r="BI164" i="12"/>
  <c r="BK164" i="12"/>
  <c r="P169" i="12"/>
  <c r="T169" i="12"/>
  <c r="J170" i="12"/>
  <c r="P170" i="12"/>
  <c r="R170" i="12"/>
  <c r="T170" i="12"/>
  <c r="BE170" i="12"/>
  <c r="BF170" i="12"/>
  <c r="BG170" i="12"/>
  <c r="BH170" i="12"/>
  <c r="BI170" i="12"/>
  <c r="BK170" i="12"/>
  <c r="BK169" i="12"/>
  <c r="J169" i="12"/>
  <c r="J65" i="12"/>
  <c r="J176" i="12"/>
  <c r="P176" i="12"/>
  <c r="R176" i="12"/>
  <c r="R169" i="12"/>
  <c r="T176" i="12"/>
  <c r="BE176" i="12"/>
  <c r="BF176" i="12"/>
  <c r="BG176" i="12"/>
  <c r="BH176" i="12"/>
  <c r="BI176" i="12"/>
  <c r="BK176" i="12"/>
  <c r="J179" i="12"/>
  <c r="J66" i="12"/>
  <c r="P179" i="12"/>
  <c r="R179" i="12"/>
  <c r="BK179" i="12"/>
  <c r="J180" i="12"/>
  <c r="BE180" i="12"/>
  <c r="P180" i="12"/>
  <c r="R180" i="12"/>
  <c r="T180" i="12"/>
  <c r="T179" i="12"/>
  <c r="BF180" i="12"/>
  <c r="BG180" i="12"/>
  <c r="BH180" i="12"/>
  <c r="BI180" i="12"/>
  <c r="BK180" i="12"/>
  <c r="P183" i="12"/>
  <c r="P182" i="12"/>
  <c r="BK183" i="12"/>
  <c r="J184" i="12"/>
  <c r="P184" i="12"/>
  <c r="R184" i="12"/>
  <c r="T184" i="12"/>
  <c r="T183" i="12"/>
  <c r="T182" i="12"/>
  <c r="BE184" i="12"/>
  <c r="BF184" i="12"/>
  <c r="BG184" i="12"/>
  <c r="BH184" i="12"/>
  <c r="BI184" i="12"/>
  <c r="BK184" i="12"/>
  <c r="J188" i="12"/>
  <c r="BE188" i="12"/>
  <c r="P188" i="12"/>
  <c r="R188" i="12"/>
  <c r="T188" i="12"/>
  <c r="BF188" i="12"/>
  <c r="BG188" i="12"/>
  <c r="BH188" i="12"/>
  <c r="BI188" i="12"/>
  <c r="BK188" i="12"/>
  <c r="E7" i="13"/>
  <c r="J12" i="13"/>
  <c r="J17" i="13"/>
  <c r="E18" i="13"/>
  <c r="J18" i="13"/>
  <c r="J35" i="13"/>
  <c r="J36" i="13"/>
  <c r="J37" i="13"/>
  <c r="E50" i="13"/>
  <c r="F52" i="13"/>
  <c r="J52" i="13"/>
  <c r="F54" i="13"/>
  <c r="J54" i="13"/>
  <c r="J55" i="13"/>
  <c r="E77" i="13"/>
  <c r="F79" i="13"/>
  <c r="J79" i="13"/>
  <c r="F81" i="13"/>
  <c r="J81" i="13"/>
  <c r="J82" i="13"/>
  <c r="J88" i="13"/>
  <c r="P88" i="13"/>
  <c r="P87" i="13"/>
  <c r="R88" i="13"/>
  <c r="T88" i="13"/>
  <c r="BE88" i="13"/>
  <c r="BF88" i="13"/>
  <c r="BG88" i="13"/>
  <c r="BH88" i="13"/>
  <c r="BI88" i="13"/>
  <c r="BK88" i="13"/>
  <c r="J91" i="13"/>
  <c r="P91" i="13"/>
  <c r="R91" i="13"/>
  <c r="R87" i="13"/>
  <c r="T91" i="13"/>
  <c r="BE91" i="13"/>
  <c r="BF91" i="13"/>
  <c r="BG91" i="13"/>
  <c r="BH91" i="13"/>
  <c r="BI91" i="13"/>
  <c r="BK91" i="13"/>
  <c r="J94" i="13"/>
  <c r="BE94" i="13"/>
  <c r="P94" i="13"/>
  <c r="R94" i="13"/>
  <c r="T94" i="13"/>
  <c r="BF94" i="13"/>
  <c r="BG94" i="13"/>
  <c r="BH94" i="13"/>
  <c r="BI94" i="13"/>
  <c r="BK94" i="13"/>
  <c r="J99" i="13"/>
  <c r="BE99" i="13"/>
  <c r="P99" i="13"/>
  <c r="R99" i="13"/>
  <c r="T99" i="13"/>
  <c r="T87" i="13"/>
  <c r="BF99" i="13"/>
  <c r="BG99" i="13"/>
  <c r="BH99" i="13"/>
  <c r="BI99" i="13"/>
  <c r="BK99" i="13"/>
  <c r="J105" i="13"/>
  <c r="P105" i="13"/>
  <c r="R105" i="13"/>
  <c r="T105" i="13"/>
  <c r="BE105" i="13"/>
  <c r="BF105" i="13"/>
  <c r="BG105" i="13"/>
  <c r="BH105" i="13"/>
  <c r="BI105" i="13"/>
  <c r="BK105" i="13"/>
  <c r="J108" i="13"/>
  <c r="P108" i="13"/>
  <c r="R108" i="13"/>
  <c r="T108" i="13"/>
  <c r="BE108" i="13"/>
  <c r="BF108" i="13"/>
  <c r="BG108" i="13"/>
  <c r="BH108" i="13"/>
  <c r="BI108" i="13"/>
  <c r="BK108" i="13"/>
  <c r="J111" i="13"/>
  <c r="BE111" i="13"/>
  <c r="P111" i="13"/>
  <c r="R111" i="13"/>
  <c r="T111" i="13"/>
  <c r="BF111" i="13"/>
  <c r="BG111" i="13"/>
  <c r="BH111" i="13"/>
  <c r="BI111" i="13"/>
  <c r="BK111" i="13"/>
  <c r="J114" i="13"/>
  <c r="BE114" i="13"/>
  <c r="P114" i="13"/>
  <c r="R114" i="13"/>
  <c r="T114" i="13"/>
  <c r="BF114" i="13"/>
  <c r="BG114" i="13"/>
  <c r="BH114" i="13"/>
  <c r="BI114" i="13"/>
  <c r="BK114" i="13"/>
  <c r="J118" i="13"/>
  <c r="P118" i="13"/>
  <c r="R118" i="13"/>
  <c r="T118" i="13"/>
  <c r="BE118" i="13"/>
  <c r="BF118" i="13"/>
  <c r="BG118" i="13"/>
  <c r="BH118" i="13"/>
  <c r="BI118" i="13"/>
  <c r="BK118" i="13"/>
  <c r="J121" i="13"/>
  <c r="P121" i="13"/>
  <c r="R121" i="13"/>
  <c r="T121" i="13"/>
  <c r="BE121" i="13"/>
  <c r="BF121" i="13"/>
  <c r="BG121" i="13"/>
  <c r="BH121" i="13"/>
  <c r="BI121" i="13"/>
  <c r="BK121" i="13"/>
  <c r="J123" i="13"/>
  <c r="BE123" i="13"/>
  <c r="P123" i="13"/>
  <c r="R123" i="13"/>
  <c r="T123" i="13"/>
  <c r="BF123" i="13"/>
  <c r="BG123" i="13"/>
  <c r="BH123" i="13"/>
  <c r="BI123" i="13"/>
  <c r="BK123" i="13"/>
  <c r="J128" i="13"/>
  <c r="P128" i="13"/>
  <c r="P127" i="13"/>
  <c r="R128" i="13"/>
  <c r="T128" i="13"/>
  <c r="BE128" i="13"/>
  <c r="BF128" i="13"/>
  <c r="BG128" i="13"/>
  <c r="BH128" i="13"/>
  <c r="BI128" i="13"/>
  <c r="BK128" i="13"/>
  <c r="BK127" i="13"/>
  <c r="J127" i="13"/>
  <c r="J62" i="13"/>
  <c r="J132" i="13"/>
  <c r="P132" i="13"/>
  <c r="R132" i="13"/>
  <c r="T132" i="13"/>
  <c r="BE132" i="13"/>
  <c r="BF132" i="13"/>
  <c r="BG132" i="13"/>
  <c r="BH132" i="13"/>
  <c r="BI132" i="13"/>
  <c r="BK132" i="13"/>
  <c r="J134" i="13"/>
  <c r="BE134" i="13"/>
  <c r="P134" i="13"/>
  <c r="R134" i="13"/>
  <c r="R127" i="13"/>
  <c r="T134" i="13"/>
  <c r="BF134" i="13"/>
  <c r="BG134" i="13"/>
  <c r="BH134" i="13"/>
  <c r="BI134" i="13"/>
  <c r="BK134" i="13"/>
  <c r="J137" i="13"/>
  <c r="BE137" i="13"/>
  <c r="P137" i="13"/>
  <c r="R137" i="13"/>
  <c r="T137" i="13"/>
  <c r="BF137" i="13"/>
  <c r="BG137" i="13"/>
  <c r="BH137" i="13"/>
  <c r="BI137" i="13"/>
  <c r="BK137" i="13"/>
  <c r="J140" i="13"/>
  <c r="P140" i="13"/>
  <c r="R140" i="13"/>
  <c r="T140" i="13"/>
  <c r="BE140" i="13"/>
  <c r="BF140" i="13"/>
  <c r="BG140" i="13"/>
  <c r="BH140" i="13"/>
  <c r="BI140" i="13"/>
  <c r="BK140" i="13"/>
  <c r="J143" i="13"/>
  <c r="P143" i="13"/>
  <c r="R143" i="13"/>
  <c r="T143" i="13"/>
  <c r="BE143" i="13"/>
  <c r="BF143" i="13"/>
  <c r="BG143" i="13"/>
  <c r="BH143" i="13"/>
  <c r="BI143" i="13"/>
  <c r="BK143" i="13"/>
  <c r="J145" i="13"/>
  <c r="BE145" i="13"/>
  <c r="P145" i="13"/>
  <c r="R145" i="13"/>
  <c r="T145" i="13"/>
  <c r="BF145" i="13"/>
  <c r="BG145" i="13"/>
  <c r="BH145" i="13"/>
  <c r="BI145" i="13"/>
  <c r="BK145" i="13"/>
  <c r="J147" i="13"/>
  <c r="BE147" i="13"/>
  <c r="P147" i="13"/>
  <c r="R147" i="13"/>
  <c r="T147" i="13"/>
  <c r="T127" i="13"/>
  <c r="BF147" i="13"/>
  <c r="BG147" i="13"/>
  <c r="BH147" i="13"/>
  <c r="BI147" i="13"/>
  <c r="BK147" i="13"/>
  <c r="J150" i="13"/>
  <c r="P150" i="13"/>
  <c r="R150" i="13"/>
  <c r="T150" i="13"/>
  <c r="BE150" i="13"/>
  <c r="BF150" i="13"/>
  <c r="BG150" i="13"/>
  <c r="BH150" i="13"/>
  <c r="BI150" i="13"/>
  <c r="BK150" i="13"/>
  <c r="J154" i="13"/>
  <c r="P154" i="13"/>
  <c r="R154" i="13"/>
  <c r="T154" i="13"/>
  <c r="BE154" i="13"/>
  <c r="BF154" i="13"/>
  <c r="BG154" i="13"/>
  <c r="BH154" i="13"/>
  <c r="BI154" i="13"/>
  <c r="BK154" i="13"/>
  <c r="J157" i="13"/>
  <c r="BE157" i="13"/>
  <c r="P157" i="13"/>
  <c r="R157" i="13"/>
  <c r="T157" i="13"/>
  <c r="BF157" i="13"/>
  <c r="BG157" i="13"/>
  <c r="BH157" i="13"/>
  <c r="BI157" i="13"/>
  <c r="BK157" i="13"/>
  <c r="J159" i="13"/>
  <c r="BE159" i="13"/>
  <c r="P159" i="13"/>
  <c r="R159" i="13"/>
  <c r="T159" i="13"/>
  <c r="BF159" i="13"/>
  <c r="BG159" i="13"/>
  <c r="BH159" i="13"/>
  <c r="BI159" i="13"/>
  <c r="BK159" i="13"/>
  <c r="J161" i="13"/>
  <c r="P161" i="13"/>
  <c r="R161" i="13"/>
  <c r="T161" i="13"/>
  <c r="BE161" i="13"/>
  <c r="BF161" i="13"/>
  <c r="BG161" i="13"/>
  <c r="BH161" i="13"/>
  <c r="BI161" i="13"/>
  <c r="BK161" i="13"/>
  <c r="J163" i="13"/>
  <c r="P163" i="13"/>
  <c r="R163" i="13"/>
  <c r="T163" i="13"/>
  <c r="BE163" i="13"/>
  <c r="BF163" i="13"/>
  <c r="BG163" i="13"/>
  <c r="BH163" i="13"/>
  <c r="BI163" i="13"/>
  <c r="BK163" i="13"/>
  <c r="J164" i="13"/>
  <c r="BE164" i="13"/>
  <c r="P164" i="13"/>
  <c r="R164" i="13"/>
  <c r="T164" i="13"/>
  <c r="BF164" i="13"/>
  <c r="BG164" i="13"/>
  <c r="BH164" i="13"/>
  <c r="BI164" i="13"/>
  <c r="BK164" i="13"/>
  <c r="J165" i="13"/>
  <c r="BE165" i="13"/>
  <c r="P165" i="13"/>
  <c r="R165" i="13"/>
  <c r="T165" i="13"/>
  <c r="BF165" i="13"/>
  <c r="BG165" i="13"/>
  <c r="BH165" i="13"/>
  <c r="BI165" i="13"/>
  <c r="BK165" i="13"/>
  <c r="J170" i="13"/>
  <c r="P170" i="13"/>
  <c r="R170" i="13"/>
  <c r="T170" i="13"/>
  <c r="BE170" i="13"/>
  <c r="BF170" i="13"/>
  <c r="BG170" i="13"/>
  <c r="BH170" i="13"/>
  <c r="BI170" i="13"/>
  <c r="BK170" i="13"/>
  <c r="BK153" i="13"/>
  <c r="J153" i="13"/>
  <c r="J63" i="13"/>
  <c r="J173" i="13"/>
  <c r="P173" i="13"/>
  <c r="R173" i="13"/>
  <c r="T173" i="13"/>
  <c r="BE173" i="13"/>
  <c r="BF173" i="13"/>
  <c r="BG173" i="13"/>
  <c r="BH173" i="13"/>
  <c r="BI173" i="13"/>
  <c r="BK173" i="13"/>
  <c r="J175" i="13"/>
  <c r="BE175" i="13"/>
  <c r="P175" i="13"/>
  <c r="R175" i="13"/>
  <c r="T175" i="13"/>
  <c r="BF175" i="13"/>
  <c r="BG175" i="13"/>
  <c r="BH175" i="13"/>
  <c r="BI175" i="13"/>
  <c r="BK175" i="13"/>
  <c r="J177" i="13"/>
  <c r="BE177" i="13"/>
  <c r="P177" i="13"/>
  <c r="R177" i="13"/>
  <c r="T177" i="13"/>
  <c r="BF177" i="13"/>
  <c r="BG177" i="13"/>
  <c r="BH177" i="13"/>
  <c r="BI177" i="13"/>
  <c r="BK177" i="13"/>
  <c r="J180" i="13"/>
  <c r="P180" i="13"/>
  <c r="R180" i="13"/>
  <c r="T180" i="13"/>
  <c r="BE180" i="13"/>
  <c r="BF180" i="13"/>
  <c r="BG180" i="13"/>
  <c r="BH180" i="13"/>
  <c r="BI180" i="13"/>
  <c r="BK180" i="13"/>
  <c r="J183" i="13"/>
  <c r="P183" i="13"/>
  <c r="R183" i="13"/>
  <c r="T183" i="13"/>
  <c r="BE183" i="13"/>
  <c r="BF183" i="13"/>
  <c r="BG183" i="13"/>
  <c r="BH183" i="13"/>
  <c r="BI183" i="13"/>
  <c r="BK183" i="13"/>
  <c r="J188" i="13"/>
  <c r="BE188" i="13"/>
  <c r="P188" i="13"/>
  <c r="R188" i="13"/>
  <c r="T188" i="13"/>
  <c r="BF188" i="13"/>
  <c r="BG188" i="13"/>
  <c r="BH188" i="13"/>
  <c r="BI188" i="13"/>
  <c r="BK188" i="13"/>
  <c r="J191" i="13"/>
  <c r="BE191" i="13"/>
  <c r="P191" i="13"/>
  <c r="R191" i="13"/>
  <c r="T191" i="13"/>
  <c r="BF191" i="13"/>
  <c r="BG191" i="13"/>
  <c r="BH191" i="13"/>
  <c r="BI191" i="13"/>
  <c r="BK191" i="13"/>
  <c r="J194" i="13"/>
  <c r="P194" i="13"/>
  <c r="R194" i="13"/>
  <c r="T194" i="13"/>
  <c r="BE194" i="13"/>
  <c r="BF194" i="13"/>
  <c r="BG194" i="13"/>
  <c r="BH194" i="13"/>
  <c r="BI194" i="13"/>
  <c r="BK194" i="13"/>
  <c r="J196" i="13"/>
  <c r="P196" i="13"/>
  <c r="R196" i="13"/>
  <c r="T196" i="13"/>
  <c r="BE196" i="13"/>
  <c r="BF196" i="13"/>
  <c r="BG196" i="13"/>
  <c r="BH196" i="13"/>
  <c r="BI196" i="13"/>
  <c r="BK196" i="13"/>
  <c r="J198" i="13"/>
  <c r="J64" i="13"/>
  <c r="R198" i="13"/>
  <c r="BK198" i="13"/>
  <c r="J199" i="13"/>
  <c r="BE199" i="13"/>
  <c r="P199" i="13"/>
  <c r="P198" i="13"/>
  <c r="R199" i="13"/>
  <c r="T199" i="13"/>
  <c r="T198" i="13"/>
  <c r="BF199" i="13"/>
  <c r="BG199" i="13"/>
  <c r="BH199" i="13"/>
  <c r="BI199" i="13"/>
  <c r="BK199" i="13"/>
  <c r="P202" i="13"/>
  <c r="T202" i="13"/>
  <c r="J203" i="13"/>
  <c r="P203" i="13"/>
  <c r="R203" i="13"/>
  <c r="R202" i="13"/>
  <c r="T203" i="13"/>
  <c r="BE203" i="13"/>
  <c r="BF203" i="13"/>
  <c r="BG203" i="13"/>
  <c r="BH203" i="13"/>
  <c r="BI203" i="13"/>
  <c r="BK203" i="13"/>
  <c r="BK202" i="13"/>
  <c r="J202" i="13"/>
  <c r="J65" i="13"/>
  <c r="E7" i="14"/>
  <c r="E48" i="14"/>
  <c r="J12" i="14"/>
  <c r="J17" i="14"/>
  <c r="E18" i="14"/>
  <c r="J18" i="14"/>
  <c r="J35" i="14"/>
  <c r="J36" i="14"/>
  <c r="J37" i="14"/>
  <c r="E50" i="14"/>
  <c r="F52" i="14"/>
  <c r="J52" i="14"/>
  <c r="F54" i="14"/>
  <c r="J54" i="14"/>
  <c r="F55" i="14"/>
  <c r="J55" i="14"/>
  <c r="E75" i="14"/>
  <c r="E77" i="14"/>
  <c r="F79" i="14"/>
  <c r="J79" i="14"/>
  <c r="F81" i="14"/>
  <c r="J81" i="14"/>
  <c r="F82" i="14"/>
  <c r="J82" i="14"/>
  <c r="J88" i="14"/>
  <c r="BE88" i="14"/>
  <c r="P88" i="14"/>
  <c r="R88" i="14"/>
  <c r="T88" i="14"/>
  <c r="T87" i="14"/>
  <c r="BF88" i="14"/>
  <c r="BG88" i="14"/>
  <c r="BH88" i="14"/>
  <c r="BI88" i="14"/>
  <c r="BK88" i="14"/>
  <c r="J91" i="14"/>
  <c r="P91" i="14"/>
  <c r="R91" i="14"/>
  <c r="R87" i="14"/>
  <c r="T91" i="14"/>
  <c r="BE91" i="14"/>
  <c r="BF91" i="14"/>
  <c r="BG91" i="14"/>
  <c r="BH91" i="14"/>
  <c r="BI91" i="14"/>
  <c r="BK91" i="14"/>
  <c r="BK87" i="14"/>
  <c r="J94" i="14"/>
  <c r="BE94" i="14"/>
  <c r="J33" i="14"/>
  <c r="P94" i="14"/>
  <c r="R94" i="14"/>
  <c r="T94" i="14"/>
  <c r="BF94" i="14"/>
  <c r="BG94" i="14"/>
  <c r="BH94" i="14"/>
  <c r="F36" i="14"/>
  <c r="BI94" i="14"/>
  <c r="BK94" i="14"/>
  <c r="J97" i="14"/>
  <c r="P97" i="14"/>
  <c r="R97" i="14"/>
  <c r="T97" i="14"/>
  <c r="BE97" i="14"/>
  <c r="BF97" i="14"/>
  <c r="BG97" i="14"/>
  <c r="BH97" i="14"/>
  <c r="BI97" i="14"/>
  <c r="BK97" i="14"/>
  <c r="T100" i="14"/>
  <c r="J101" i="14"/>
  <c r="P101" i="14"/>
  <c r="P100" i="14"/>
  <c r="R101" i="14"/>
  <c r="T101" i="14"/>
  <c r="BE101" i="14"/>
  <c r="BF101" i="14"/>
  <c r="BG101" i="14"/>
  <c r="BH101" i="14"/>
  <c r="BI101" i="14"/>
  <c r="BK101" i="14"/>
  <c r="J103" i="14"/>
  <c r="P103" i="14"/>
  <c r="R103" i="14"/>
  <c r="T103" i="14"/>
  <c r="BE103" i="14"/>
  <c r="BF103" i="14"/>
  <c r="BG103" i="14"/>
  <c r="BH103" i="14"/>
  <c r="BI103" i="14"/>
  <c r="BK103" i="14"/>
  <c r="J106" i="14"/>
  <c r="BE106" i="14"/>
  <c r="P106" i="14"/>
  <c r="R106" i="14"/>
  <c r="T106" i="14"/>
  <c r="BF106" i="14"/>
  <c r="BG106" i="14"/>
  <c r="BH106" i="14"/>
  <c r="BI106" i="14"/>
  <c r="BK106" i="14"/>
  <c r="J109" i="14"/>
  <c r="BE109" i="14"/>
  <c r="P109" i="14"/>
  <c r="R109" i="14"/>
  <c r="T109" i="14"/>
  <c r="BF109" i="14"/>
  <c r="BG109" i="14"/>
  <c r="BH109" i="14"/>
  <c r="BI109" i="14"/>
  <c r="BK109" i="14"/>
  <c r="BK100" i="14"/>
  <c r="J100" i="14"/>
  <c r="J62" i="14"/>
  <c r="J111" i="14"/>
  <c r="P111" i="14"/>
  <c r="R111" i="14"/>
  <c r="T111" i="14"/>
  <c r="BE111" i="14"/>
  <c r="BF111" i="14"/>
  <c r="BG111" i="14"/>
  <c r="BH111" i="14"/>
  <c r="BI111" i="14"/>
  <c r="BK111" i="14"/>
  <c r="J113" i="14"/>
  <c r="P113" i="14"/>
  <c r="R113" i="14"/>
  <c r="T113" i="14"/>
  <c r="BE113" i="14"/>
  <c r="BF113" i="14"/>
  <c r="BG113" i="14"/>
  <c r="BH113" i="14"/>
  <c r="BI113" i="14"/>
  <c r="BK113" i="14"/>
  <c r="J118" i="14"/>
  <c r="BE118" i="14"/>
  <c r="P118" i="14"/>
  <c r="R118" i="14"/>
  <c r="T118" i="14"/>
  <c r="BF118" i="14"/>
  <c r="BG118" i="14"/>
  <c r="BH118" i="14"/>
  <c r="BI118" i="14"/>
  <c r="BK118" i="14"/>
  <c r="J125" i="14"/>
  <c r="P125" i="14"/>
  <c r="R125" i="14"/>
  <c r="R124" i="14"/>
  <c r="T125" i="14"/>
  <c r="BE125" i="14"/>
  <c r="BF125" i="14"/>
  <c r="BG125" i="14"/>
  <c r="BH125" i="14"/>
  <c r="BI125" i="14"/>
  <c r="BK125" i="14"/>
  <c r="J128" i="14"/>
  <c r="BE128" i="14"/>
  <c r="P128" i="14"/>
  <c r="R128" i="14"/>
  <c r="T128" i="14"/>
  <c r="BF128" i="14"/>
  <c r="BG128" i="14"/>
  <c r="BH128" i="14"/>
  <c r="BI128" i="14"/>
  <c r="BK128" i="14"/>
  <c r="J130" i="14"/>
  <c r="BE130" i="14"/>
  <c r="P130" i="14"/>
  <c r="R130" i="14"/>
  <c r="T130" i="14"/>
  <c r="BF130" i="14"/>
  <c r="BG130" i="14"/>
  <c r="BH130" i="14"/>
  <c r="BI130" i="14"/>
  <c r="BK130" i="14"/>
  <c r="J132" i="14"/>
  <c r="P132" i="14"/>
  <c r="R132" i="14"/>
  <c r="T132" i="14"/>
  <c r="BE132" i="14"/>
  <c r="BF132" i="14"/>
  <c r="BG132" i="14"/>
  <c r="BH132" i="14"/>
  <c r="BI132" i="14"/>
  <c r="BK132" i="14"/>
  <c r="J133" i="14"/>
  <c r="P133" i="14"/>
  <c r="R133" i="14"/>
  <c r="T133" i="14"/>
  <c r="BE133" i="14"/>
  <c r="BF133" i="14"/>
  <c r="BG133" i="14"/>
  <c r="BH133" i="14"/>
  <c r="BI133" i="14"/>
  <c r="BK133" i="14"/>
  <c r="J134" i="14"/>
  <c r="BE134" i="14"/>
  <c r="P134" i="14"/>
  <c r="R134" i="14"/>
  <c r="T134" i="14"/>
  <c r="BF134" i="14"/>
  <c r="BG134" i="14"/>
  <c r="BH134" i="14"/>
  <c r="BI134" i="14"/>
  <c r="BK134" i="14"/>
  <c r="J137" i="14"/>
  <c r="BE137" i="14"/>
  <c r="P137" i="14"/>
  <c r="R137" i="14"/>
  <c r="T137" i="14"/>
  <c r="BF137" i="14"/>
  <c r="BG137" i="14"/>
  <c r="BH137" i="14"/>
  <c r="BI137" i="14"/>
  <c r="BK137" i="14"/>
  <c r="J142" i="14"/>
  <c r="P142" i="14"/>
  <c r="R142" i="14"/>
  <c r="T142" i="14"/>
  <c r="BE142" i="14"/>
  <c r="BF142" i="14"/>
  <c r="BG142" i="14"/>
  <c r="BH142" i="14"/>
  <c r="BI142" i="14"/>
  <c r="BK142" i="14"/>
  <c r="J149" i="14"/>
  <c r="P149" i="14"/>
  <c r="R149" i="14"/>
  <c r="T149" i="14"/>
  <c r="BE149" i="14"/>
  <c r="BF149" i="14"/>
  <c r="BG149" i="14"/>
  <c r="BH149" i="14"/>
  <c r="BI149" i="14"/>
  <c r="BK149" i="14"/>
  <c r="J154" i="14"/>
  <c r="BE154" i="14"/>
  <c r="P154" i="14"/>
  <c r="R154" i="14"/>
  <c r="T154" i="14"/>
  <c r="BF154" i="14"/>
  <c r="BG154" i="14"/>
  <c r="BH154" i="14"/>
  <c r="BI154" i="14"/>
  <c r="BK154" i="14"/>
  <c r="J161" i="14"/>
  <c r="BE161" i="14"/>
  <c r="P161" i="14"/>
  <c r="R161" i="14"/>
  <c r="T161" i="14"/>
  <c r="BF161" i="14"/>
  <c r="BG161" i="14"/>
  <c r="BH161" i="14"/>
  <c r="BI161" i="14"/>
  <c r="BK161" i="14"/>
  <c r="J164" i="14"/>
  <c r="P164" i="14"/>
  <c r="R164" i="14"/>
  <c r="T164" i="14"/>
  <c r="BE164" i="14"/>
  <c r="BF164" i="14"/>
  <c r="BG164" i="14"/>
  <c r="BH164" i="14"/>
  <c r="BI164" i="14"/>
  <c r="BK164" i="14"/>
  <c r="J166" i="14"/>
  <c r="P166" i="14"/>
  <c r="R166" i="14"/>
  <c r="T166" i="14"/>
  <c r="BE166" i="14"/>
  <c r="BF166" i="14"/>
  <c r="BG166" i="14"/>
  <c r="BH166" i="14"/>
  <c r="BI166" i="14"/>
  <c r="BK166" i="14"/>
  <c r="J168" i="14"/>
  <c r="BE168" i="14"/>
  <c r="P168" i="14"/>
  <c r="R168" i="14"/>
  <c r="T168" i="14"/>
  <c r="BF168" i="14"/>
  <c r="BG168" i="14"/>
  <c r="BH168" i="14"/>
  <c r="BI168" i="14"/>
  <c r="BK168" i="14"/>
  <c r="J177" i="14"/>
  <c r="P177" i="14"/>
  <c r="P176" i="14"/>
  <c r="R177" i="14"/>
  <c r="R176" i="14"/>
  <c r="T177" i="14"/>
  <c r="T176" i="14"/>
  <c r="BE177" i="14"/>
  <c r="BF177" i="14"/>
  <c r="BG177" i="14"/>
  <c r="BH177" i="14"/>
  <c r="BI177" i="14"/>
  <c r="BK177" i="14"/>
  <c r="BK176" i="14"/>
  <c r="J176" i="14"/>
  <c r="J64" i="14"/>
  <c r="J179" i="14"/>
  <c r="BE179" i="14"/>
  <c r="P179" i="14"/>
  <c r="R179" i="14"/>
  <c r="T179" i="14"/>
  <c r="BF179" i="14"/>
  <c r="BG179" i="14"/>
  <c r="BH179" i="14"/>
  <c r="BI179" i="14"/>
  <c r="BK179" i="14"/>
  <c r="J184" i="14"/>
  <c r="P184" i="14"/>
  <c r="R184" i="14"/>
  <c r="T184" i="14"/>
  <c r="BE184" i="14"/>
  <c r="BF184" i="14"/>
  <c r="BG184" i="14"/>
  <c r="BH184" i="14"/>
  <c r="BI184" i="14"/>
  <c r="BK184" i="14"/>
  <c r="P186" i="14"/>
  <c r="T186" i="14"/>
  <c r="BK186" i="14"/>
  <c r="J186" i="14"/>
  <c r="J65" i="14"/>
  <c r="J187" i="14"/>
  <c r="BE187" i="14"/>
  <c r="P187" i="14"/>
  <c r="R187" i="14"/>
  <c r="R186" i="14"/>
  <c r="T187" i="14"/>
  <c r="BF187" i="14"/>
  <c r="BG187" i="14"/>
  <c r="BH187" i="14"/>
  <c r="BI187" i="14"/>
  <c r="BK187" i="14"/>
  <c r="E7" i="15"/>
  <c r="J12" i="15"/>
  <c r="J76" i="15"/>
  <c r="J17" i="15"/>
  <c r="E18" i="15"/>
  <c r="F55" i="15"/>
  <c r="J18" i="15"/>
  <c r="J35" i="15"/>
  <c r="J36" i="15"/>
  <c r="J37" i="15"/>
  <c r="E48" i="15"/>
  <c r="E50" i="15"/>
  <c r="F52" i="15"/>
  <c r="J52" i="15"/>
  <c r="F54" i="15"/>
  <c r="J54" i="15"/>
  <c r="J55" i="15"/>
  <c r="E72" i="15"/>
  <c r="E74" i="15"/>
  <c r="F76" i="15"/>
  <c r="F78" i="15"/>
  <c r="J78" i="15"/>
  <c r="F79" i="15"/>
  <c r="J79" i="15"/>
  <c r="T83" i="15"/>
  <c r="T82" i="15"/>
  <c r="J85" i="15"/>
  <c r="BE85" i="15"/>
  <c r="P85" i="15"/>
  <c r="P84" i="15"/>
  <c r="P83" i="15"/>
  <c r="P82" i="15"/>
  <c r="R85" i="15"/>
  <c r="R84" i="15"/>
  <c r="R83" i="15"/>
  <c r="R82" i="15"/>
  <c r="T85" i="15"/>
  <c r="BF85" i="15"/>
  <c r="BG85" i="15"/>
  <c r="BH85" i="15"/>
  <c r="BI85" i="15"/>
  <c r="BK85" i="15"/>
  <c r="BK84" i="15"/>
  <c r="J88" i="15"/>
  <c r="BE88" i="15"/>
  <c r="P88" i="15"/>
  <c r="R88" i="15"/>
  <c r="T88" i="15"/>
  <c r="T84" i="15"/>
  <c r="BF88" i="15"/>
  <c r="BG88" i="15"/>
  <c r="BH88" i="15"/>
  <c r="F36" i="15"/>
  <c r="BI88" i="15"/>
  <c r="F37" i="15"/>
  <c r="BK88" i="15"/>
  <c r="J90" i="15"/>
  <c r="P90" i="15"/>
  <c r="R90" i="15"/>
  <c r="T90" i="15"/>
  <c r="BE90" i="15"/>
  <c r="BF90" i="15"/>
  <c r="BG90" i="15"/>
  <c r="BH90" i="15"/>
  <c r="BI90" i="15"/>
  <c r="BK90" i="15"/>
  <c r="R93" i="15"/>
  <c r="T93" i="15"/>
  <c r="BK93" i="15"/>
  <c r="J93" i="15"/>
  <c r="J62" i="15"/>
  <c r="J94" i="15"/>
  <c r="P94" i="15"/>
  <c r="P93" i="15"/>
  <c r="R94" i="15"/>
  <c r="T94" i="15"/>
  <c r="BE94" i="15"/>
  <c r="BF94" i="15"/>
  <c r="BG94" i="15"/>
  <c r="BH94" i="15"/>
  <c r="BI94" i="15"/>
  <c r="BK94" i="15"/>
  <c r="E7" i="16"/>
  <c r="E48" i="16"/>
  <c r="J12" i="16"/>
  <c r="J17" i="16"/>
  <c r="E18" i="16"/>
  <c r="F82" i="16"/>
  <c r="J18" i="16"/>
  <c r="J35" i="16"/>
  <c r="J36" i="16"/>
  <c r="J37" i="16"/>
  <c r="E50" i="16"/>
  <c r="F52" i="16"/>
  <c r="J52" i="16"/>
  <c r="F54" i="16"/>
  <c r="J54" i="16"/>
  <c r="J55" i="16"/>
  <c r="E75" i="16"/>
  <c r="E77" i="16"/>
  <c r="F79" i="16"/>
  <c r="J79" i="16"/>
  <c r="F81" i="16"/>
  <c r="J81" i="16"/>
  <c r="J82" i="16"/>
  <c r="R87" i="16"/>
  <c r="J88" i="16"/>
  <c r="P88" i="16"/>
  <c r="R88" i="16"/>
  <c r="T88" i="16"/>
  <c r="BE88" i="16"/>
  <c r="BF88" i="16"/>
  <c r="BG88" i="16"/>
  <c r="BH88" i="16"/>
  <c r="BI88" i="16"/>
  <c r="BK88" i="16"/>
  <c r="J91" i="16"/>
  <c r="P91" i="16"/>
  <c r="R91" i="16"/>
  <c r="T91" i="16"/>
  <c r="T87" i="16"/>
  <c r="BE91" i="16"/>
  <c r="BF91" i="16"/>
  <c r="BG91" i="16"/>
  <c r="BH91" i="16"/>
  <c r="BI91" i="16"/>
  <c r="BK91" i="16"/>
  <c r="J94" i="16"/>
  <c r="BE94" i="16"/>
  <c r="P94" i="16"/>
  <c r="P87" i="16"/>
  <c r="R94" i="16"/>
  <c r="T94" i="16"/>
  <c r="BF94" i="16"/>
  <c r="BG94" i="16"/>
  <c r="BH94" i="16"/>
  <c r="BI94" i="16"/>
  <c r="BK94" i="16"/>
  <c r="J100" i="16"/>
  <c r="BE100" i="16"/>
  <c r="P100" i="16"/>
  <c r="R100" i="16"/>
  <c r="T100" i="16"/>
  <c r="BF100" i="16"/>
  <c r="BG100" i="16"/>
  <c r="BH100" i="16"/>
  <c r="BI100" i="16"/>
  <c r="BK100" i="16"/>
  <c r="J105" i="16"/>
  <c r="BE105" i="16"/>
  <c r="P105" i="16"/>
  <c r="P104" i="16"/>
  <c r="R105" i="16"/>
  <c r="T105" i="16"/>
  <c r="T104" i="16"/>
  <c r="BF105" i="16"/>
  <c r="BG105" i="16"/>
  <c r="BH105" i="16"/>
  <c r="BI105" i="16"/>
  <c r="BK105" i="16"/>
  <c r="BK104" i="16"/>
  <c r="J104" i="16"/>
  <c r="J62" i="16"/>
  <c r="J109" i="16"/>
  <c r="P109" i="16"/>
  <c r="R109" i="16"/>
  <c r="T109" i="16"/>
  <c r="BE109" i="16"/>
  <c r="BF109" i="16"/>
  <c r="BG109" i="16"/>
  <c r="BH109" i="16"/>
  <c r="BI109" i="16"/>
  <c r="BK109" i="16"/>
  <c r="J111" i="16"/>
  <c r="P111" i="16"/>
  <c r="R111" i="16"/>
  <c r="T111" i="16"/>
  <c r="BE111" i="16"/>
  <c r="BF111" i="16"/>
  <c r="BG111" i="16"/>
  <c r="BH111" i="16"/>
  <c r="BI111" i="16"/>
  <c r="BK111" i="16"/>
  <c r="J115" i="16"/>
  <c r="BE115" i="16"/>
  <c r="P115" i="16"/>
  <c r="R115" i="16"/>
  <c r="T115" i="16"/>
  <c r="BF115" i="16"/>
  <c r="BG115" i="16"/>
  <c r="BH115" i="16"/>
  <c r="BI115" i="16"/>
  <c r="BK115" i="16"/>
  <c r="J118" i="16"/>
  <c r="BE118" i="16"/>
  <c r="P118" i="16"/>
  <c r="R118" i="16"/>
  <c r="T118" i="16"/>
  <c r="BF118" i="16"/>
  <c r="BG118" i="16"/>
  <c r="BH118" i="16"/>
  <c r="BI118" i="16"/>
  <c r="BK118" i="16"/>
  <c r="J121" i="16"/>
  <c r="P121" i="16"/>
  <c r="R121" i="16"/>
  <c r="T121" i="16"/>
  <c r="BE121" i="16"/>
  <c r="BF121" i="16"/>
  <c r="BG121" i="16"/>
  <c r="BH121" i="16"/>
  <c r="BI121" i="16"/>
  <c r="BK121" i="16"/>
  <c r="J124" i="16"/>
  <c r="P124" i="16"/>
  <c r="R124" i="16"/>
  <c r="T124" i="16"/>
  <c r="BE124" i="16"/>
  <c r="BF124" i="16"/>
  <c r="BG124" i="16"/>
  <c r="BH124" i="16"/>
  <c r="BI124" i="16"/>
  <c r="BK124" i="16"/>
  <c r="J127" i="16"/>
  <c r="P127" i="16"/>
  <c r="R127" i="16"/>
  <c r="T127" i="16"/>
  <c r="BE127" i="16"/>
  <c r="BF127" i="16"/>
  <c r="BG127" i="16"/>
  <c r="BH127" i="16"/>
  <c r="BI127" i="16"/>
  <c r="BK127" i="16"/>
  <c r="J130" i="16"/>
  <c r="P130" i="16"/>
  <c r="R130" i="16"/>
  <c r="R129" i="16"/>
  <c r="T130" i="16"/>
  <c r="T129" i="16"/>
  <c r="BE130" i="16"/>
  <c r="BF130" i="16"/>
  <c r="BG130" i="16"/>
  <c r="BH130" i="16"/>
  <c r="BI130" i="16"/>
  <c r="BK130" i="16"/>
  <c r="J133" i="16"/>
  <c r="BE133" i="16"/>
  <c r="P133" i="16"/>
  <c r="P129" i="16"/>
  <c r="R133" i="16"/>
  <c r="T133" i="16"/>
  <c r="BF133" i="16"/>
  <c r="BG133" i="16"/>
  <c r="BH133" i="16"/>
  <c r="BI133" i="16"/>
  <c r="BK133" i="16"/>
  <c r="BK129" i="16"/>
  <c r="J129" i="16"/>
  <c r="J63" i="16"/>
  <c r="J136" i="16"/>
  <c r="BE136" i="16"/>
  <c r="P136" i="16"/>
  <c r="R136" i="16"/>
  <c r="T136" i="16"/>
  <c r="BF136" i="16"/>
  <c r="BG136" i="16"/>
  <c r="BH136" i="16"/>
  <c r="F36" i="16"/>
  <c r="BI136" i="16"/>
  <c r="BK136" i="16"/>
  <c r="J141" i="16"/>
  <c r="P141" i="16"/>
  <c r="R141" i="16"/>
  <c r="T141" i="16"/>
  <c r="BE141" i="16"/>
  <c r="BF141" i="16"/>
  <c r="BG141" i="16"/>
  <c r="BH141" i="16"/>
  <c r="BI141" i="16"/>
  <c r="BK141" i="16"/>
  <c r="J144" i="16"/>
  <c r="P144" i="16"/>
  <c r="R144" i="16"/>
  <c r="T144" i="16"/>
  <c r="BE144" i="16"/>
  <c r="BF144" i="16"/>
  <c r="BG144" i="16"/>
  <c r="BH144" i="16"/>
  <c r="BI144" i="16"/>
  <c r="BK144" i="16"/>
  <c r="P147" i="16"/>
  <c r="J148" i="16"/>
  <c r="P148" i="16"/>
  <c r="R148" i="16"/>
  <c r="T148" i="16"/>
  <c r="T147" i="16"/>
  <c r="BE148" i="16"/>
  <c r="BF148" i="16"/>
  <c r="BG148" i="16"/>
  <c r="BH148" i="16"/>
  <c r="BI148" i="16"/>
  <c r="BK148" i="16"/>
  <c r="BK147" i="16"/>
  <c r="J147" i="16"/>
  <c r="J64" i="16"/>
  <c r="J154" i="16"/>
  <c r="P154" i="16"/>
  <c r="R154" i="16"/>
  <c r="R147" i="16"/>
  <c r="T154" i="16"/>
  <c r="BE154" i="16"/>
  <c r="BF154" i="16"/>
  <c r="BG154" i="16"/>
  <c r="BH154" i="16"/>
  <c r="BI154" i="16"/>
  <c r="BK154" i="16"/>
  <c r="J157" i="16"/>
  <c r="J65" i="16"/>
  <c r="P157" i="16"/>
  <c r="BK157" i="16"/>
  <c r="J158" i="16"/>
  <c r="P158" i="16"/>
  <c r="R158" i="16"/>
  <c r="R157" i="16"/>
  <c r="T158" i="16"/>
  <c r="T157" i="16"/>
  <c r="BE158" i="16"/>
  <c r="BF158" i="16"/>
  <c r="BG158" i="16"/>
  <c r="BH158" i="16"/>
  <c r="BI158" i="16"/>
  <c r="BK158" i="16"/>
  <c r="E7" i="17"/>
  <c r="E82" i="17"/>
  <c r="J12" i="17"/>
  <c r="J17" i="17"/>
  <c r="E18" i="17"/>
  <c r="F55" i="17"/>
  <c r="J18" i="17"/>
  <c r="J35" i="17"/>
  <c r="J36" i="17"/>
  <c r="J37" i="17"/>
  <c r="E48" i="17"/>
  <c r="E50" i="17"/>
  <c r="F52" i="17"/>
  <c r="F54" i="17"/>
  <c r="J54" i="17"/>
  <c r="J55" i="17"/>
  <c r="J67" i="17"/>
  <c r="E84" i="17"/>
  <c r="F86" i="17"/>
  <c r="F88" i="17"/>
  <c r="J88" i="17"/>
  <c r="F89" i="17"/>
  <c r="J89" i="17"/>
  <c r="J95" i="17"/>
  <c r="P95" i="17"/>
  <c r="R95" i="17"/>
  <c r="R94" i="17"/>
  <c r="T95" i="17"/>
  <c r="BE95" i="17"/>
  <c r="BF95" i="17"/>
  <c r="BG95" i="17"/>
  <c r="BH95" i="17"/>
  <c r="BI95" i="17"/>
  <c r="F37" i="17"/>
  <c r="BK95" i="17"/>
  <c r="J98" i="17"/>
  <c r="BE98" i="17"/>
  <c r="P98" i="17"/>
  <c r="R98" i="17"/>
  <c r="T98" i="17"/>
  <c r="BF98" i="17"/>
  <c r="BG98" i="17"/>
  <c r="BH98" i="17"/>
  <c r="BI98" i="17"/>
  <c r="BK98" i="17"/>
  <c r="J101" i="17"/>
  <c r="BE101" i="17"/>
  <c r="P101" i="17"/>
  <c r="R101" i="17"/>
  <c r="T101" i="17"/>
  <c r="BF101" i="17"/>
  <c r="BG101" i="17"/>
  <c r="BH101" i="17"/>
  <c r="BI101" i="17"/>
  <c r="BK101" i="17"/>
  <c r="J104" i="17"/>
  <c r="P104" i="17"/>
  <c r="R104" i="17"/>
  <c r="T104" i="17"/>
  <c r="BE104" i="17"/>
  <c r="BF104" i="17"/>
  <c r="BG104" i="17"/>
  <c r="BH104" i="17"/>
  <c r="BI104" i="17"/>
  <c r="BK104" i="17"/>
  <c r="J107" i="17"/>
  <c r="P107" i="17"/>
  <c r="R107" i="17"/>
  <c r="T107" i="17"/>
  <c r="BE107" i="17"/>
  <c r="BF107" i="17"/>
  <c r="BG107" i="17"/>
  <c r="BH107" i="17"/>
  <c r="BI107" i="17"/>
  <c r="BK107" i="17"/>
  <c r="J110" i="17"/>
  <c r="BE110" i="17"/>
  <c r="P110" i="17"/>
  <c r="R110" i="17"/>
  <c r="T110" i="17"/>
  <c r="BF110" i="17"/>
  <c r="BG110" i="17"/>
  <c r="BH110" i="17"/>
  <c r="BI110" i="17"/>
  <c r="BK110" i="17"/>
  <c r="J116" i="17"/>
  <c r="BE116" i="17"/>
  <c r="P116" i="17"/>
  <c r="R116" i="17"/>
  <c r="T116" i="17"/>
  <c r="BF116" i="17"/>
  <c r="BG116" i="17"/>
  <c r="BH116" i="17"/>
  <c r="BI116" i="17"/>
  <c r="BK116" i="17"/>
  <c r="J119" i="17"/>
  <c r="P119" i="17"/>
  <c r="R119" i="17"/>
  <c r="T119" i="17"/>
  <c r="BE119" i="17"/>
  <c r="BF119" i="17"/>
  <c r="J34" i="17"/>
  <c r="BG119" i="17"/>
  <c r="BH119" i="17"/>
  <c r="BI119" i="17"/>
  <c r="BK119" i="17"/>
  <c r="J124" i="17"/>
  <c r="P124" i="17"/>
  <c r="R124" i="17"/>
  <c r="T124" i="17"/>
  <c r="BE124" i="17"/>
  <c r="BF124" i="17"/>
  <c r="BG124" i="17"/>
  <c r="BH124" i="17"/>
  <c r="BI124" i="17"/>
  <c r="BK124" i="17"/>
  <c r="J130" i="17"/>
  <c r="BE130" i="17"/>
  <c r="P130" i="17"/>
  <c r="R130" i="17"/>
  <c r="T130" i="17"/>
  <c r="BF130" i="17"/>
  <c r="BG130" i="17"/>
  <c r="BH130" i="17"/>
  <c r="BI130" i="17"/>
  <c r="BK130" i="17"/>
  <c r="J134" i="17"/>
  <c r="BE134" i="17"/>
  <c r="P134" i="17"/>
  <c r="R134" i="17"/>
  <c r="T134" i="17"/>
  <c r="BF134" i="17"/>
  <c r="BG134" i="17"/>
  <c r="BH134" i="17"/>
  <c r="BI134" i="17"/>
  <c r="BK134" i="17"/>
  <c r="J136" i="17"/>
  <c r="P136" i="17"/>
  <c r="R136" i="17"/>
  <c r="T136" i="17"/>
  <c r="BE136" i="17"/>
  <c r="BF136" i="17"/>
  <c r="BG136" i="17"/>
  <c r="BH136" i="17"/>
  <c r="BI136" i="17"/>
  <c r="BK136" i="17"/>
  <c r="J139" i="17"/>
  <c r="P139" i="17"/>
  <c r="R139" i="17"/>
  <c r="T139" i="17"/>
  <c r="BE139" i="17"/>
  <c r="BF139" i="17"/>
  <c r="BG139" i="17"/>
  <c r="BH139" i="17"/>
  <c r="BI139" i="17"/>
  <c r="BK139" i="17"/>
  <c r="J143" i="17"/>
  <c r="BE143" i="17"/>
  <c r="P143" i="17"/>
  <c r="R143" i="17"/>
  <c r="T143" i="17"/>
  <c r="BF143" i="17"/>
  <c r="BG143" i="17"/>
  <c r="BH143" i="17"/>
  <c r="BI143" i="17"/>
  <c r="BK143" i="17"/>
  <c r="J146" i="17"/>
  <c r="BE146" i="17"/>
  <c r="P146" i="17"/>
  <c r="R146" i="17"/>
  <c r="T146" i="17"/>
  <c r="BF146" i="17"/>
  <c r="BG146" i="17"/>
  <c r="BH146" i="17"/>
  <c r="BI146" i="17"/>
  <c r="BK146" i="17"/>
  <c r="J157" i="17"/>
  <c r="P157" i="17"/>
  <c r="R157" i="17"/>
  <c r="T157" i="17"/>
  <c r="BE157" i="17"/>
  <c r="BF157" i="17"/>
  <c r="BG157" i="17"/>
  <c r="BH157" i="17"/>
  <c r="BI157" i="17"/>
  <c r="BK157" i="17"/>
  <c r="J162" i="17"/>
  <c r="P162" i="17"/>
  <c r="R162" i="17"/>
  <c r="T162" i="17"/>
  <c r="BE162" i="17"/>
  <c r="BF162" i="17"/>
  <c r="BG162" i="17"/>
  <c r="BH162" i="17"/>
  <c r="BI162" i="17"/>
  <c r="BK162" i="17"/>
  <c r="P164" i="17"/>
  <c r="J165" i="17"/>
  <c r="P165" i="17"/>
  <c r="R165" i="17"/>
  <c r="T165" i="17"/>
  <c r="T164" i="17"/>
  <c r="BE165" i="17"/>
  <c r="BF165" i="17"/>
  <c r="BG165" i="17"/>
  <c r="BH165" i="17"/>
  <c r="BI165" i="17"/>
  <c r="BK165" i="17"/>
  <c r="BK164" i="17"/>
  <c r="J164" i="17"/>
  <c r="J62" i="17"/>
  <c r="J170" i="17"/>
  <c r="P170" i="17"/>
  <c r="R170" i="17"/>
  <c r="R164" i="17"/>
  <c r="T170" i="17"/>
  <c r="BE170" i="17"/>
  <c r="BF170" i="17"/>
  <c r="BG170" i="17"/>
  <c r="BH170" i="17"/>
  <c r="BI170" i="17"/>
  <c r="BK170" i="17"/>
  <c r="J175" i="17"/>
  <c r="BE175" i="17"/>
  <c r="P175" i="17"/>
  <c r="R175" i="17"/>
  <c r="T175" i="17"/>
  <c r="BF175" i="17"/>
  <c r="BG175" i="17"/>
  <c r="BH175" i="17"/>
  <c r="BI175" i="17"/>
  <c r="BK175" i="17"/>
  <c r="J178" i="17"/>
  <c r="BE178" i="17"/>
  <c r="P178" i="17"/>
  <c r="R178" i="17"/>
  <c r="T178" i="17"/>
  <c r="BF178" i="17"/>
  <c r="BG178" i="17"/>
  <c r="BH178" i="17"/>
  <c r="BI178" i="17"/>
  <c r="BK178" i="17"/>
  <c r="P181" i="17"/>
  <c r="BK181" i="17"/>
  <c r="J181" i="17"/>
  <c r="J63" i="17"/>
  <c r="J182" i="17"/>
  <c r="BE182" i="17"/>
  <c r="P182" i="17"/>
  <c r="R182" i="17"/>
  <c r="R181" i="17"/>
  <c r="T182" i="17"/>
  <c r="BF182" i="17"/>
  <c r="BG182" i="17"/>
  <c r="BH182" i="17"/>
  <c r="BI182" i="17"/>
  <c r="BK182" i="17"/>
  <c r="J187" i="17"/>
  <c r="P187" i="17"/>
  <c r="R187" i="17"/>
  <c r="T187" i="17"/>
  <c r="BE187" i="17"/>
  <c r="BF187" i="17"/>
  <c r="BG187" i="17"/>
  <c r="BH187" i="17"/>
  <c r="BI187" i="17"/>
  <c r="BK187" i="17"/>
  <c r="J190" i="17"/>
  <c r="P190" i="17"/>
  <c r="R190" i="17"/>
  <c r="T190" i="17"/>
  <c r="T181" i="17"/>
  <c r="BE190" i="17"/>
  <c r="BF190" i="17"/>
  <c r="BG190" i="17"/>
  <c r="BH190" i="17"/>
  <c r="BI190" i="17"/>
  <c r="BK190" i="17"/>
  <c r="P192" i="17"/>
  <c r="J193" i="17"/>
  <c r="P193" i="17"/>
  <c r="R193" i="17"/>
  <c r="T193" i="17"/>
  <c r="T192" i="17"/>
  <c r="BE193" i="17"/>
  <c r="BF193" i="17"/>
  <c r="BG193" i="17"/>
  <c r="BH193" i="17"/>
  <c r="BI193" i="17"/>
  <c r="BK193" i="17"/>
  <c r="BK192" i="17"/>
  <c r="J192" i="17"/>
  <c r="J64" i="17"/>
  <c r="J195" i="17"/>
  <c r="P195" i="17"/>
  <c r="R195" i="17"/>
  <c r="T195" i="17"/>
  <c r="BE195" i="17"/>
  <c r="BF195" i="17"/>
  <c r="BG195" i="17"/>
  <c r="BH195" i="17"/>
  <c r="BI195" i="17"/>
  <c r="BK195" i="17"/>
  <c r="J198" i="17"/>
  <c r="BE198" i="17"/>
  <c r="P198" i="17"/>
  <c r="R198" i="17"/>
  <c r="T198" i="17"/>
  <c r="BF198" i="17"/>
  <c r="BG198" i="17"/>
  <c r="BH198" i="17"/>
  <c r="BI198" i="17"/>
  <c r="BK198" i="17"/>
  <c r="J201" i="17"/>
  <c r="P201" i="17"/>
  <c r="R201" i="17"/>
  <c r="T201" i="17"/>
  <c r="BE201" i="17"/>
  <c r="BF201" i="17"/>
  <c r="BG201" i="17"/>
  <c r="BH201" i="17"/>
  <c r="BI201" i="17"/>
  <c r="BK201" i="17"/>
  <c r="J204" i="17"/>
  <c r="P204" i="17"/>
  <c r="R204" i="17"/>
  <c r="T204" i="17"/>
  <c r="BE204" i="17"/>
  <c r="BF204" i="17"/>
  <c r="BG204" i="17"/>
  <c r="BH204" i="17"/>
  <c r="BI204" i="17"/>
  <c r="BK204" i="17"/>
  <c r="J206" i="17"/>
  <c r="P206" i="17"/>
  <c r="R206" i="17"/>
  <c r="T206" i="17"/>
  <c r="BE206" i="17"/>
  <c r="BF206" i="17"/>
  <c r="BG206" i="17"/>
  <c r="BH206" i="17"/>
  <c r="BI206" i="17"/>
  <c r="BK206" i="17"/>
  <c r="J208" i="17"/>
  <c r="BE208" i="17"/>
  <c r="P208" i="17"/>
  <c r="R208" i="17"/>
  <c r="T208" i="17"/>
  <c r="BF208" i="17"/>
  <c r="BG208" i="17"/>
  <c r="BH208" i="17"/>
  <c r="BI208" i="17"/>
  <c r="BK208" i="17"/>
  <c r="J210" i="17"/>
  <c r="P210" i="17"/>
  <c r="R210" i="17"/>
  <c r="T210" i="17"/>
  <c r="BE210" i="17"/>
  <c r="BF210" i="17"/>
  <c r="BG210" i="17"/>
  <c r="BH210" i="17"/>
  <c r="BI210" i="17"/>
  <c r="BK210" i="17"/>
  <c r="J212" i="17"/>
  <c r="P212" i="17"/>
  <c r="R212" i="17"/>
  <c r="T212" i="17"/>
  <c r="BE212" i="17"/>
  <c r="BF212" i="17"/>
  <c r="BG212" i="17"/>
  <c r="BH212" i="17"/>
  <c r="BI212" i="17"/>
  <c r="BK212" i="17"/>
  <c r="J214" i="17"/>
  <c r="P214" i="17"/>
  <c r="R214" i="17"/>
  <c r="T214" i="17"/>
  <c r="BE214" i="17"/>
  <c r="BF214" i="17"/>
  <c r="BG214" i="17"/>
  <c r="BH214" i="17"/>
  <c r="BI214" i="17"/>
  <c r="BK214" i="17"/>
  <c r="J216" i="17"/>
  <c r="BE216" i="17"/>
  <c r="P216" i="17"/>
  <c r="R216" i="17"/>
  <c r="T216" i="17"/>
  <c r="BF216" i="17"/>
  <c r="BG216" i="17"/>
  <c r="BH216" i="17"/>
  <c r="BI216" i="17"/>
  <c r="BK216" i="17"/>
  <c r="J218" i="17"/>
  <c r="P218" i="17"/>
  <c r="R218" i="17"/>
  <c r="T218" i="17"/>
  <c r="BE218" i="17"/>
  <c r="BF218" i="17"/>
  <c r="BG218" i="17"/>
  <c r="BH218" i="17"/>
  <c r="BI218" i="17"/>
  <c r="BK218" i="17"/>
  <c r="J220" i="17"/>
  <c r="P220" i="17"/>
  <c r="R220" i="17"/>
  <c r="T220" i="17"/>
  <c r="BE220" i="17"/>
  <c r="BF220" i="17"/>
  <c r="BG220" i="17"/>
  <c r="BH220" i="17"/>
  <c r="BI220" i="17"/>
  <c r="BK220" i="17"/>
  <c r="J223" i="17"/>
  <c r="P223" i="17"/>
  <c r="R223" i="17"/>
  <c r="T223" i="17"/>
  <c r="BE223" i="17"/>
  <c r="BF223" i="17"/>
  <c r="BG223" i="17"/>
  <c r="BH223" i="17"/>
  <c r="BI223" i="17"/>
  <c r="BK223" i="17"/>
  <c r="J226" i="17"/>
  <c r="BE226" i="17"/>
  <c r="P226" i="17"/>
  <c r="R226" i="17"/>
  <c r="T226" i="17"/>
  <c r="BF226" i="17"/>
  <c r="BG226" i="17"/>
  <c r="BH226" i="17"/>
  <c r="BI226" i="17"/>
  <c r="BK226" i="17"/>
  <c r="J228" i="17"/>
  <c r="P228" i="17"/>
  <c r="R228" i="17"/>
  <c r="T228" i="17"/>
  <c r="BE228" i="17"/>
  <c r="BF228" i="17"/>
  <c r="BG228" i="17"/>
  <c r="BH228" i="17"/>
  <c r="BI228" i="17"/>
  <c r="BK228" i="17"/>
  <c r="J229" i="17"/>
  <c r="P229" i="17"/>
  <c r="R229" i="17"/>
  <c r="T229" i="17"/>
  <c r="BE229" i="17"/>
  <c r="BF229" i="17"/>
  <c r="BG229" i="17"/>
  <c r="BH229" i="17"/>
  <c r="BI229" i="17"/>
  <c r="BK229" i="17"/>
  <c r="J231" i="17"/>
  <c r="P231" i="17"/>
  <c r="R231" i="17"/>
  <c r="T231" i="17"/>
  <c r="BE231" i="17"/>
  <c r="BF231" i="17"/>
  <c r="BG231" i="17"/>
  <c r="BH231" i="17"/>
  <c r="BI231" i="17"/>
  <c r="BK231" i="17"/>
  <c r="J232" i="17"/>
  <c r="BE232" i="17"/>
  <c r="P232" i="17"/>
  <c r="R232" i="17"/>
  <c r="T232" i="17"/>
  <c r="BF232" i="17"/>
  <c r="BG232" i="17"/>
  <c r="BH232" i="17"/>
  <c r="BI232" i="17"/>
  <c r="BK232" i="17"/>
  <c r="J234" i="17"/>
  <c r="P234" i="17"/>
  <c r="R234" i="17"/>
  <c r="T234" i="17"/>
  <c r="BE234" i="17"/>
  <c r="BF234" i="17"/>
  <c r="BG234" i="17"/>
  <c r="BH234" i="17"/>
  <c r="BI234" i="17"/>
  <c r="BK234" i="17"/>
  <c r="J235" i="17"/>
  <c r="P235" i="17"/>
  <c r="R235" i="17"/>
  <c r="T235" i="17"/>
  <c r="BE235" i="17"/>
  <c r="BF235" i="17"/>
  <c r="BG235" i="17"/>
  <c r="BH235" i="17"/>
  <c r="BI235" i="17"/>
  <c r="BK235" i="17"/>
  <c r="J236" i="17"/>
  <c r="P236" i="17"/>
  <c r="R236" i="17"/>
  <c r="T236" i="17"/>
  <c r="BE236" i="17"/>
  <c r="BF236" i="17"/>
  <c r="BG236" i="17"/>
  <c r="BH236" i="17"/>
  <c r="BI236" i="17"/>
  <c r="BK236" i="17"/>
  <c r="J237" i="17"/>
  <c r="BE237" i="17"/>
  <c r="P237" i="17"/>
  <c r="R237" i="17"/>
  <c r="T237" i="17"/>
  <c r="BF237" i="17"/>
  <c r="BG237" i="17"/>
  <c r="BH237" i="17"/>
  <c r="BI237" i="17"/>
  <c r="BK237" i="17"/>
  <c r="J238" i="17"/>
  <c r="P238" i="17"/>
  <c r="R238" i="17"/>
  <c r="T238" i="17"/>
  <c r="BE238" i="17"/>
  <c r="BF238" i="17"/>
  <c r="BG238" i="17"/>
  <c r="BH238" i="17"/>
  <c r="BI238" i="17"/>
  <c r="BK238" i="17"/>
  <c r="J239" i="17"/>
  <c r="P239" i="17"/>
  <c r="R239" i="17"/>
  <c r="T239" i="17"/>
  <c r="BE239" i="17"/>
  <c r="BF239" i="17"/>
  <c r="BG239" i="17"/>
  <c r="BH239" i="17"/>
  <c r="BI239" i="17"/>
  <c r="BK239" i="17"/>
  <c r="J241" i="17"/>
  <c r="P241" i="17"/>
  <c r="R241" i="17"/>
  <c r="T241" i="17"/>
  <c r="BE241" i="17"/>
  <c r="BF241" i="17"/>
  <c r="BG241" i="17"/>
  <c r="BH241" i="17"/>
  <c r="BI241" i="17"/>
  <c r="BK241" i="17"/>
  <c r="J242" i="17"/>
  <c r="BE242" i="17"/>
  <c r="P242" i="17"/>
  <c r="R242" i="17"/>
  <c r="T242" i="17"/>
  <c r="BF242" i="17"/>
  <c r="BG242" i="17"/>
  <c r="BH242" i="17"/>
  <c r="BI242" i="17"/>
  <c r="BK242" i="17"/>
  <c r="J244" i="17"/>
  <c r="P244" i="17"/>
  <c r="R244" i="17"/>
  <c r="T244" i="17"/>
  <c r="BE244" i="17"/>
  <c r="BF244" i="17"/>
  <c r="BG244" i="17"/>
  <c r="BH244" i="17"/>
  <c r="BI244" i="17"/>
  <c r="BK244" i="17"/>
  <c r="J245" i="17"/>
  <c r="P245" i="17"/>
  <c r="R245" i="17"/>
  <c r="T245" i="17"/>
  <c r="BE245" i="17"/>
  <c r="BF245" i="17"/>
  <c r="BG245" i="17"/>
  <c r="BH245" i="17"/>
  <c r="BI245" i="17"/>
  <c r="BK245" i="17"/>
  <c r="J247" i="17"/>
  <c r="P247" i="17"/>
  <c r="R247" i="17"/>
  <c r="T247" i="17"/>
  <c r="BE247" i="17"/>
  <c r="BF247" i="17"/>
  <c r="BG247" i="17"/>
  <c r="BH247" i="17"/>
  <c r="BI247" i="17"/>
  <c r="BK247" i="17"/>
  <c r="J248" i="17"/>
  <c r="BE248" i="17"/>
  <c r="P248" i="17"/>
  <c r="R248" i="17"/>
  <c r="T248" i="17"/>
  <c r="BF248" i="17"/>
  <c r="BG248" i="17"/>
  <c r="BH248" i="17"/>
  <c r="BI248" i="17"/>
  <c r="BK248" i="17"/>
  <c r="J249" i="17"/>
  <c r="P249" i="17"/>
  <c r="R249" i="17"/>
  <c r="T249" i="17"/>
  <c r="BE249" i="17"/>
  <c r="BF249" i="17"/>
  <c r="BG249" i="17"/>
  <c r="BH249" i="17"/>
  <c r="BI249" i="17"/>
  <c r="BK249" i="17"/>
  <c r="J251" i="17"/>
  <c r="P251" i="17"/>
  <c r="R251" i="17"/>
  <c r="T251" i="17"/>
  <c r="BE251" i="17"/>
  <c r="BF251" i="17"/>
  <c r="BG251" i="17"/>
  <c r="BH251" i="17"/>
  <c r="BI251" i="17"/>
  <c r="BK251" i="17"/>
  <c r="J252" i="17"/>
  <c r="P252" i="17"/>
  <c r="R252" i="17"/>
  <c r="T252" i="17"/>
  <c r="BE252" i="17"/>
  <c r="BF252" i="17"/>
  <c r="BG252" i="17"/>
  <c r="BH252" i="17"/>
  <c r="BI252" i="17"/>
  <c r="BK252" i="17"/>
  <c r="J254" i="17"/>
  <c r="BE254" i="17"/>
  <c r="P254" i="17"/>
  <c r="R254" i="17"/>
  <c r="T254" i="17"/>
  <c r="BF254" i="17"/>
  <c r="BG254" i="17"/>
  <c r="BH254" i="17"/>
  <c r="BI254" i="17"/>
  <c r="BK254" i="17"/>
  <c r="J255" i="17"/>
  <c r="P255" i="17"/>
  <c r="R255" i="17"/>
  <c r="T255" i="17"/>
  <c r="BE255" i="17"/>
  <c r="BF255" i="17"/>
  <c r="BG255" i="17"/>
  <c r="BH255" i="17"/>
  <c r="BI255" i="17"/>
  <c r="BK255" i="17"/>
  <c r="J256" i="17"/>
  <c r="P256" i="17"/>
  <c r="R256" i="17"/>
  <c r="T256" i="17"/>
  <c r="BE256" i="17"/>
  <c r="BF256" i="17"/>
  <c r="BG256" i="17"/>
  <c r="BH256" i="17"/>
  <c r="BI256" i="17"/>
  <c r="BK256" i="17"/>
  <c r="J258" i="17"/>
  <c r="P258" i="17"/>
  <c r="R258" i="17"/>
  <c r="T258" i="17"/>
  <c r="BE258" i="17"/>
  <c r="BF258" i="17"/>
  <c r="BG258" i="17"/>
  <c r="BH258" i="17"/>
  <c r="BI258" i="17"/>
  <c r="BK258" i="17"/>
  <c r="J259" i="17"/>
  <c r="BE259" i="17"/>
  <c r="P259" i="17"/>
  <c r="R259" i="17"/>
  <c r="T259" i="17"/>
  <c r="BF259" i="17"/>
  <c r="BG259" i="17"/>
  <c r="BH259" i="17"/>
  <c r="BI259" i="17"/>
  <c r="BK259" i="17"/>
  <c r="J260" i="17"/>
  <c r="P260" i="17"/>
  <c r="R260" i="17"/>
  <c r="T260" i="17"/>
  <c r="BE260" i="17"/>
  <c r="BF260" i="17"/>
  <c r="BG260" i="17"/>
  <c r="BH260" i="17"/>
  <c r="BI260" i="17"/>
  <c r="BK260" i="17"/>
  <c r="J263" i="17"/>
  <c r="P263" i="17"/>
  <c r="R263" i="17"/>
  <c r="T263" i="17"/>
  <c r="BE263" i="17"/>
  <c r="BF263" i="17"/>
  <c r="BG263" i="17"/>
  <c r="BH263" i="17"/>
  <c r="BI263" i="17"/>
  <c r="BK263" i="17"/>
  <c r="R265" i="17"/>
  <c r="J266" i="17"/>
  <c r="P266" i="17"/>
  <c r="R266" i="17"/>
  <c r="T266" i="17"/>
  <c r="BE266" i="17"/>
  <c r="BF266" i="17"/>
  <c r="BG266" i="17"/>
  <c r="BH266" i="17"/>
  <c r="BI266" i="17"/>
  <c r="BK266" i="17"/>
  <c r="J271" i="17"/>
  <c r="P271" i="17"/>
  <c r="R271" i="17"/>
  <c r="T271" i="17"/>
  <c r="T265" i="17"/>
  <c r="BE271" i="17"/>
  <c r="BF271" i="17"/>
  <c r="BG271" i="17"/>
  <c r="BH271" i="17"/>
  <c r="BI271" i="17"/>
  <c r="BK271" i="17"/>
  <c r="J273" i="17"/>
  <c r="BE273" i="17"/>
  <c r="P273" i="17"/>
  <c r="R273" i="17"/>
  <c r="T273" i="17"/>
  <c r="BF273" i="17"/>
  <c r="BG273" i="17"/>
  <c r="BH273" i="17"/>
  <c r="BI273" i="17"/>
  <c r="BK273" i="17"/>
  <c r="J274" i="17"/>
  <c r="BE274" i="17"/>
  <c r="P274" i="17"/>
  <c r="R274" i="17"/>
  <c r="T274" i="17"/>
  <c r="BF274" i="17"/>
  <c r="BG274" i="17"/>
  <c r="BH274" i="17"/>
  <c r="BI274" i="17"/>
  <c r="BK274" i="17"/>
  <c r="J276" i="17"/>
  <c r="P276" i="17"/>
  <c r="R276" i="17"/>
  <c r="T276" i="17"/>
  <c r="BE276" i="17"/>
  <c r="BF276" i="17"/>
  <c r="BG276" i="17"/>
  <c r="BH276" i="17"/>
  <c r="BI276" i="17"/>
  <c r="BK276" i="17"/>
  <c r="J277" i="17"/>
  <c r="P277" i="17"/>
  <c r="R277" i="17"/>
  <c r="T277" i="17"/>
  <c r="BE277" i="17"/>
  <c r="BF277" i="17"/>
  <c r="BG277" i="17"/>
  <c r="BH277" i="17"/>
  <c r="BI277" i="17"/>
  <c r="BK277" i="17"/>
  <c r="J278" i="17"/>
  <c r="BE278" i="17"/>
  <c r="P278" i="17"/>
  <c r="R278" i="17"/>
  <c r="T278" i="17"/>
  <c r="BF278" i="17"/>
  <c r="BG278" i="17"/>
  <c r="BH278" i="17"/>
  <c r="BI278" i="17"/>
  <c r="BK278" i="17"/>
  <c r="J280" i="17"/>
  <c r="BE280" i="17"/>
  <c r="P280" i="17"/>
  <c r="R280" i="17"/>
  <c r="T280" i="17"/>
  <c r="BF280" i="17"/>
  <c r="BG280" i="17"/>
  <c r="BH280" i="17"/>
  <c r="BI280" i="17"/>
  <c r="BK280" i="17"/>
  <c r="J281" i="17"/>
  <c r="P281" i="17"/>
  <c r="R281" i="17"/>
  <c r="T281" i="17"/>
  <c r="BE281" i="17"/>
  <c r="BF281" i="17"/>
  <c r="BG281" i="17"/>
  <c r="BH281" i="17"/>
  <c r="BI281" i="17"/>
  <c r="BK281" i="17"/>
  <c r="J283" i="17"/>
  <c r="P283" i="17"/>
  <c r="R283" i="17"/>
  <c r="T283" i="17"/>
  <c r="BE283" i="17"/>
  <c r="BF283" i="17"/>
  <c r="BG283" i="17"/>
  <c r="BH283" i="17"/>
  <c r="BI283" i="17"/>
  <c r="BK283" i="17"/>
  <c r="J284" i="17"/>
  <c r="BE284" i="17"/>
  <c r="P284" i="17"/>
  <c r="R284" i="17"/>
  <c r="T284" i="17"/>
  <c r="BF284" i="17"/>
  <c r="BG284" i="17"/>
  <c r="BH284" i="17"/>
  <c r="BI284" i="17"/>
  <c r="BK284" i="17"/>
  <c r="J288" i="17"/>
  <c r="P288" i="17"/>
  <c r="R288" i="17"/>
  <c r="R287" i="17"/>
  <c r="T288" i="17"/>
  <c r="T287" i="17"/>
  <c r="BE288" i="17"/>
  <c r="BF288" i="17"/>
  <c r="BG288" i="17"/>
  <c r="BH288" i="17"/>
  <c r="BI288" i="17"/>
  <c r="BK288" i="17"/>
  <c r="BK287" i="17"/>
  <c r="J287" i="17"/>
  <c r="J66" i="17"/>
  <c r="J293" i="17"/>
  <c r="BE293" i="17"/>
  <c r="P293" i="17"/>
  <c r="P287" i="17"/>
  <c r="R293" i="17"/>
  <c r="T293" i="17"/>
  <c r="BF293" i="17"/>
  <c r="BG293" i="17"/>
  <c r="BH293" i="17"/>
  <c r="BI293" i="17"/>
  <c r="BK293" i="17"/>
  <c r="J298" i="17"/>
  <c r="BE298" i="17"/>
  <c r="P298" i="17"/>
  <c r="R298" i="17"/>
  <c r="T298" i="17"/>
  <c r="BF298" i="17"/>
  <c r="BG298" i="17"/>
  <c r="BH298" i="17"/>
  <c r="BI298" i="17"/>
  <c r="BK298" i="17"/>
  <c r="J301" i="17"/>
  <c r="P301" i="17"/>
  <c r="R301" i="17"/>
  <c r="T301" i="17"/>
  <c r="BE301" i="17"/>
  <c r="BF301" i="17"/>
  <c r="BG301" i="17"/>
  <c r="BH301" i="17"/>
  <c r="BI301" i="17"/>
  <c r="BK301" i="17"/>
  <c r="R303" i="17"/>
  <c r="J304" i="17"/>
  <c r="P304" i="17"/>
  <c r="P303" i="17"/>
  <c r="R304" i="17"/>
  <c r="T304" i="17"/>
  <c r="BE304" i="17"/>
  <c r="BF304" i="17"/>
  <c r="BG304" i="17"/>
  <c r="BH304" i="17"/>
  <c r="BI304" i="17"/>
  <c r="BK304" i="17"/>
  <c r="BK303" i="17"/>
  <c r="J303" i="17"/>
  <c r="J306" i="17"/>
  <c r="P306" i="17"/>
  <c r="R306" i="17"/>
  <c r="T306" i="17"/>
  <c r="T303" i="17"/>
  <c r="BE306" i="17"/>
  <c r="BF306" i="17"/>
  <c r="BG306" i="17"/>
  <c r="BH306" i="17"/>
  <c r="BI306" i="17"/>
  <c r="BK306" i="17"/>
  <c r="P308" i="17"/>
  <c r="R308" i="17"/>
  <c r="R309" i="17"/>
  <c r="BK309" i="17"/>
  <c r="J310" i="17"/>
  <c r="BE310" i="17"/>
  <c r="P310" i="17"/>
  <c r="P309" i="17"/>
  <c r="R310" i="17"/>
  <c r="T310" i="17"/>
  <c r="T309" i="17"/>
  <c r="T308" i="17"/>
  <c r="BF310" i="17"/>
  <c r="BG310" i="17"/>
  <c r="BH310" i="17"/>
  <c r="BI310" i="17"/>
  <c r="BK310" i="17"/>
  <c r="J312" i="17"/>
  <c r="P312" i="17"/>
  <c r="R312" i="17"/>
  <c r="T312" i="17"/>
  <c r="BE312" i="17"/>
  <c r="BF312" i="17"/>
  <c r="BG312" i="17"/>
  <c r="BH312" i="17"/>
  <c r="BI312" i="17"/>
  <c r="BK312" i="17"/>
  <c r="J315" i="17"/>
  <c r="BE315" i="17"/>
  <c r="P315" i="17"/>
  <c r="P314" i="17"/>
  <c r="P313" i="17"/>
  <c r="R315" i="17"/>
  <c r="R314" i="17"/>
  <c r="R313" i="17"/>
  <c r="T315" i="17"/>
  <c r="T314" i="17"/>
  <c r="BF315" i="17"/>
  <c r="BG315" i="17"/>
  <c r="BH315" i="17"/>
  <c r="BI315" i="17"/>
  <c r="BK315" i="17"/>
  <c r="BK314" i="17"/>
  <c r="J317" i="17"/>
  <c r="BE317" i="17"/>
  <c r="P317" i="17"/>
  <c r="R317" i="17"/>
  <c r="T317" i="17"/>
  <c r="BF317" i="17"/>
  <c r="BG317" i="17"/>
  <c r="BH317" i="17"/>
  <c r="BI317" i="17"/>
  <c r="BK317" i="17"/>
  <c r="J319" i="17"/>
  <c r="P319" i="17"/>
  <c r="R319" i="17"/>
  <c r="T319" i="17"/>
  <c r="BE319" i="17"/>
  <c r="BF319" i="17"/>
  <c r="BG319" i="17"/>
  <c r="BH319" i="17"/>
  <c r="BI319" i="17"/>
  <c r="BK319" i="17"/>
  <c r="P321" i="17"/>
  <c r="T321" i="17"/>
  <c r="T313" i="17"/>
  <c r="BK321" i="17"/>
  <c r="J321" i="17"/>
  <c r="J72" i="17"/>
  <c r="J322" i="17"/>
  <c r="BE322" i="17"/>
  <c r="P322" i="17"/>
  <c r="R322" i="17"/>
  <c r="R321" i="17"/>
  <c r="T322" i="17"/>
  <c r="BF322" i="17"/>
  <c r="BG322" i="17"/>
  <c r="BH322" i="17"/>
  <c r="BI322" i="17"/>
  <c r="BK322" i="17"/>
  <c r="E7" i="18"/>
  <c r="E48" i="18"/>
  <c r="J12" i="18"/>
  <c r="J17" i="18"/>
  <c r="E18" i="18"/>
  <c r="F55" i="18"/>
  <c r="J18" i="18"/>
  <c r="J35" i="18"/>
  <c r="J36" i="18"/>
  <c r="J37" i="18"/>
  <c r="E50" i="18"/>
  <c r="F52" i="18"/>
  <c r="J52" i="18"/>
  <c r="F54" i="18"/>
  <c r="J54" i="18"/>
  <c r="J55" i="18"/>
  <c r="E77" i="18"/>
  <c r="E79" i="18"/>
  <c r="F81" i="18"/>
  <c r="J81" i="18"/>
  <c r="F83" i="18"/>
  <c r="J83" i="18"/>
  <c r="F84" i="18"/>
  <c r="J84" i="18"/>
  <c r="J89" i="18"/>
  <c r="J61" i="18"/>
  <c r="P89" i="18"/>
  <c r="P88" i="18"/>
  <c r="J90" i="18"/>
  <c r="P90" i="18"/>
  <c r="R90" i="18"/>
  <c r="R89" i="18"/>
  <c r="R88" i="18"/>
  <c r="T90" i="18"/>
  <c r="T89" i="18"/>
  <c r="T88" i="18"/>
  <c r="BE90" i="18"/>
  <c r="BF90" i="18"/>
  <c r="BG90" i="18"/>
  <c r="F35" i="18"/>
  <c r="BH90" i="18"/>
  <c r="BI90" i="18"/>
  <c r="BK90" i="18"/>
  <c r="BK89" i="18"/>
  <c r="BK88" i="18"/>
  <c r="J94" i="18"/>
  <c r="BE94" i="18"/>
  <c r="P94" i="18"/>
  <c r="R94" i="18"/>
  <c r="T94" i="18"/>
  <c r="BF94" i="18"/>
  <c r="BG94" i="18"/>
  <c r="BH94" i="18"/>
  <c r="F36" i="18"/>
  <c r="BI94" i="18"/>
  <c r="BK94" i="18"/>
  <c r="J96" i="18"/>
  <c r="P96" i="18"/>
  <c r="R96" i="18"/>
  <c r="R93" i="18"/>
  <c r="R92" i="18"/>
  <c r="T96" i="18"/>
  <c r="BE96" i="18"/>
  <c r="BF96" i="18"/>
  <c r="BG96" i="18"/>
  <c r="BH96" i="18"/>
  <c r="BI96" i="18"/>
  <c r="BK96" i="18"/>
  <c r="J98" i="18"/>
  <c r="P98" i="18"/>
  <c r="R98" i="18"/>
  <c r="T98" i="18"/>
  <c r="BE98" i="18"/>
  <c r="BF98" i="18"/>
  <c r="BG98" i="18"/>
  <c r="BH98" i="18"/>
  <c r="BI98" i="18"/>
  <c r="BK98" i="18"/>
  <c r="J100" i="18"/>
  <c r="BE100" i="18"/>
  <c r="P100" i="18"/>
  <c r="R100" i="18"/>
  <c r="T100" i="18"/>
  <c r="BF100" i="18"/>
  <c r="BG100" i="18"/>
  <c r="BH100" i="18"/>
  <c r="BI100" i="18"/>
  <c r="BK100" i="18"/>
  <c r="BK93" i="18"/>
  <c r="J102" i="18"/>
  <c r="BE102" i="18"/>
  <c r="P102" i="18"/>
  <c r="R102" i="18"/>
  <c r="T102" i="18"/>
  <c r="BF102" i="18"/>
  <c r="BG102" i="18"/>
  <c r="BH102" i="18"/>
  <c r="BI102" i="18"/>
  <c r="BK102" i="18"/>
  <c r="J104" i="18"/>
  <c r="P104" i="18"/>
  <c r="R104" i="18"/>
  <c r="T104" i="18"/>
  <c r="BE104" i="18"/>
  <c r="BF104" i="18"/>
  <c r="BG104" i="18"/>
  <c r="BH104" i="18"/>
  <c r="BI104" i="18"/>
  <c r="BK104" i="18"/>
  <c r="J106" i="18"/>
  <c r="P106" i="18"/>
  <c r="R106" i="18"/>
  <c r="T106" i="18"/>
  <c r="BE106" i="18"/>
  <c r="BF106" i="18"/>
  <c r="BG106" i="18"/>
  <c r="BH106" i="18"/>
  <c r="BI106" i="18"/>
  <c r="BK106" i="18"/>
  <c r="J108" i="18"/>
  <c r="BE108" i="18"/>
  <c r="P108" i="18"/>
  <c r="R108" i="18"/>
  <c r="T108" i="18"/>
  <c r="BF108" i="18"/>
  <c r="BG108" i="18"/>
  <c r="BH108" i="18"/>
  <c r="BI108" i="18"/>
  <c r="BK108" i="18"/>
  <c r="J110" i="18"/>
  <c r="BE110" i="18"/>
  <c r="P110" i="18"/>
  <c r="R110" i="18"/>
  <c r="T110" i="18"/>
  <c r="BF110" i="18"/>
  <c r="BG110" i="18"/>
  <c r="BH110" i="18"/>
  <c r="BI110" i="18"/>
  <c r="BK110" i="18"/>
  <c r="J112" i="18"/>
  <c r="P112" i="18"/>
  <c r="R112" i="18"/>
  <c r="T112" i="18"/>
  <c r="BE112" i="18"/>
  <c r="BF112" i="18"/>
  <c r="BG112" i="18"/>
  <c r="BH112" i="18"/>
  <c r="BI112" i="18"/>
  <c r="BK112" i="18"/>
  <c r="J114" i="18"/>
  <c r="P114" i="18"/>
  <c r="R114" i="18"/>
  <c r="T114" i="18"/>
  <c r="BE114" i="18"/>
  <c r="BF114" i="18"/>
  <c r="BG114" i="18"/>
  <c r="BH114" i="18"/>
  <c r="BI114" i="18"/>
  <c r="BK114" i="18"/>
  <c r="J116" i="18"/>
  <c r="P116" i="18"/>
  <c r="R116" i="18"/>
  <c r="T116" i="18"/>
  <c r="BE116" i="18"/>
  <c r="BF116" i="18"/>
  <c r="BG116" i="18"/>
  <c r="BH116" i="18"/>
  <c r="BI116" i="18"/>
  <c r="BK116" i="18"/>
  <c r="J118" i="18"/>
  <c r="BE118" i="18"/>
  <c r="P118" i="18"/>
  <c r="R118" i="18"/>
  <c r="T118" i="18"/>
  <c r="BF118" i="18"/>
  <c r="BG118" i="18"/>
  <c r="BH118" i="18"/>
  <c r="BI118" i="18"/>
  <c r="BK118" i="18"/>
  <c r="J120" i="18"/>
  <c r="P120" i="18"/>
  <c r="R120" i="18"/>
  <c r="T120" i="18"/>
  <c r="BE120" i="18"/>
  <c r="BF120" i="18"/>
  <c r="BG120" i="18"/>
  <c r="BH120" i="18"/>
  <c r="BI120" i="18"/>
  <c r="BK120" i="18"/>
  <c r="J122" i="18"/>
  <c r="P122" i="18"/>
  <c r="R122" i="18"/>
  <c r="T122" i="18"/>
  <c r="BE122" i="18"/>
  <c r="BF122" i="18"/>
  <c r="BG122" i="18"/>
  <c r="BH122" i="18"/>
  <c r="BI122" i="18"/>
  <c r="BK122" i="18"/>
  <c r="J124" i="18"/>
  <c r="P124" i="18"/>
  <c r="R124" i="18"/>
  <c r="T124" i="18"/>
  <c r="BE124" i="18"/>
  <c r="BF124" i="18"/>
  <c r="BG124" i="18"/>
  <c r="BH124" i="18"/>
  <c r="BI124" i="18"/>
  <c r="BK124" i="18"/>
  <c r="J126" i="18"/>
  <c r="BE126" i="18"/>
  <c r="P126" i="18"/>
  <c r="R126" i="18"/>
  <c r="T126" i="18"/>
  <c r="BF126" i="18"/>
  <c r="BG126" i="18"/>
  <c r="BH126" i="18"/>
  <c r="BI126" i="18"/>
  <c r="BK126" i="18"/>
  <c r="J128" i="18"/>
  <c r="P128" i="18"/>
  <c r="R128" i="18"/>
  <c r="T128" i="18"/>
  <c r="BE128" i="18"/>
  <c r="BF128" i="18"/>
  <c r="BG128" i="18"/>
  <c r="BH128" i="18"/>
  <c r="BI128" i="18"/>
  <c r="BK128" i="18"/>
  <c r="J132" i="18"/>
  <c r="P132" i="18"/>
  <c r="R132" i="18"/>
  <c r="R131" i="18"/>
  <c r="T132" i="18"/>
  <c r="BE132" i="18"/>
  <c r="BF132" i="18"/>
  <c r="BG132" i="18"/>
  <c r="BH132" i="18"/>
  <c r="BI132" i="18"/>
  <c r="BK132" i="18"/>
  <c r="J134" i="18"/>
  <c r="BE134" i="18"/>
  <c r="P134" i="18"/>
  <c r="R134" i="18"/>
  <c r="T134" i="18"/>
  <c r="BF134" i="18"/>
  <c r="BG134" i="18"/>
  <c r="BH134" i="18"/>
  <c r="BI134" i="18"/>
  <c r="BK134" i="18"/>
  <c r="J135" i="18"/>
  <c r="P135" i="18"/>
  <c r="R135" i="18"/>
  <c r="T135" i="18"/>
  <c r="BE135" i="18"/>
  <c r="BF135" i="18"/>
  <c r="BG135" i="18"/>
  <c r="BH135" i="18"/>
  <c r="BI135" i="18"/>
  <c r="BK135" i="18"/>
  <c r="J137" i="18"/>
  <c r="P137" i="18"/>
  <c r="R137" i="18"/>
  <c r="T137" i="18"/>
  <c r="T131" i="18"/>
  <c r="T130" i="18"/>
  <c r="BE137" i="18"/>
  <c r="BF137" i="18"/>
  <c r="BG137" i="18"/>
  <c r="BH137" i="18"/>
  <c r="BI137" i="18"/>
  <c r="BK137" i="18"/>
  <c r="J138" i="18"/>
  <c r="P138" i="18"/>
  <c r="R138" i="18"/>
  <c r="T138" i="18"/>
  <c r="BE138" i="18"/>
  <c r="BF138" i="18"/>
  <c r="BG138" i="18"/>
  <c r="BH138" i="18"/>
  <c r="BI138" i="18"/>
  <c r="BK138" i="18"/>
  <c r="J140" i="18"/>
  <c r="BE140" i="18"/>
  <c r="P140" i="18"/>
  <c r="R140" i="18"/>
  <c r="T140" i="18"/>
  <c r="BF140" i="18"/>
  <c r="BG140" i="18"/>
  <c r="BH140" i="18"/>
  <c r="BI140" i="18"/>
  <c r="BK140" i="18"/>
  <c r="J141" i="18"/>
  <c r="P141" i="18"/>
  <c r="R141" i="18"/>
  <c r="T141" i="18"/>
  <c r="BE141" i="18"/>
  <c r="BF141" i="18"/>
  <c r="BG141" i="18"/>
  <c r="BH141" i="18"/>
  <c r="BI141" i="18"/>
  <c r="BK141" i="18"/>
  <c r="J144" i="18"/>
  <c r="P144" i="18"/>
  <c r="R144" i="18"/>
  <c r="T144" i="18"/>
  <c r="BE144" i="18"/>
  <c r="BF144" i="18"/>
  <c r="BG144" i="18"/>
  <c r="BH144" i="18"/>
  <c r="BI144" i="18"/>
  <c r="BK144" i="18"/>
  <c r="P146" i="18"/>
  <c r="J147" i="18"/>
  <c r="P147" i="18"/>
  <c r="R147" i="18"/>
  <c r="T147" i="18"/>
  <c r="T146" i="18"/>
  <c r="BE147" i="18"/>
  <c r="BF147" i="18"/>
  <c r="BG147" i="18"/>
  <c r="BH147" i="18"/>
  <c r="BI147" i="18"/>
  <c r="BK147" i="18"/>
  <c r="BK146" i="18"/>
  <c r="J146" i="18"/>
  <c r="J66" i="18"/>
  <c r="J149" i="18"/>
  <c r="P149" i="18"/>
  <c r="R149" i="18"/>
  <c r="R146" i="18"/>
  <c r="T149" i="18"/>
  <c r="BE149" i="18"/>
  <c r="BF149" i="18"/>
  <c r="BG149" i="18"/>
  <c r="BH149" i="18"/>
  <c r="BI149" i="18"/>
  <c r="BK149" i="18"/>
  <c r="J150" i="18"/>
  <c r="BE150" i="18"/>
  <c r="P150" i="18"/>
  <c r="R150" i="18"/>
  <c r="T150" i="18"/>
  <c r="BF150" i="18"/>
  <c r="BG150" i="18"/>
  <c r="BH150" i="18"/>
  <c r="BI150" i="18"/>
  <c r="BK150" i="18"/>
  <c r="J152" i="18"/>
  <c r="P152" i="18"/>
  <c r="R152" i="18"/>
  <c r="T152" i="18"/>
  <c r="BE152" i="18"/>
  <c r="BF152" i="18"/>
  <c r="BG152" i="18"/>
  <c r="BH152" i="18"/>
  <c r="BI152" i="18"/>
  <c r="BK152" i="18"/>
  <c r="J154" i="18"/>
  <c r="BE154" i="18"/>
  <c r="P154" i="18"/>
  <c r="R154" i="18"/>
  <c r="R153" i="18"/>
  <c r="T154" i="18"/>
  <c r="BF154" i="18"/>
  <c r="BG154" i="18"/>
  <c r="BH154" i="18"/>
  <c r="BI154" i="18"/>
  <c r="BK154" i="18"/>
  <c r="J157" i="18"/>
  <c r="P157" i="18"/>
  <c r="R157" i="18"/>
  <c r="T157" i="18"/>
  <c r="BE157" i="18"/>
  <c r="BF157" i="18"/>
  <c r="BG157" i="18"/>
  <c r="BH157" i="18"/>
  <c r="BI157" i="18"/>
  <c r="BK157" i="18"/>
  <c r="J159" i="18"/>
  <c r="P159" i="18"/>
  <c r="R159" i="18"/>
  <c r="T159" i="18"/>
  <c r="T153" i="18"/>
  <c r="BE159" i="18"/>
  <c r="BF159" i="18"/>
  <c r="BG159" i="18"/>
  <c r="BH159" i="18"/>
  <c r="BI159" i="18"/>
  <c r="BK159" i="18"/>
  <c r="J162" i="18"/>
  <c r="P162" i="18"/>
  <c r="P153" i="18"/>
  <c r="R162" i="18"/>
  <c r="T162" i="18"/>
  <c r="BE162" i="18"/>
  <c r="BF162" i="18"/>
  <c r="BG162" i="18"/>
  <c r="BH162" i="18"/>
  <c r="BI162" i="18"/>
  <c r="BK162" i="18"/>
  <c r="BK153" i="18"/>
  <c r="J153" i="18"/>
  <c r="J67" i="18"/>
  <c r="J166" i="18"/>
  <c r="BE166" i="18"/>
  <c r="P166" i="18"/>
  <c r="R166" i="18"/>
  <c r="T166" i="18"/>
  <c r="BF166" i="18"/>
  <c r="BG166" i="18"/>
  <c r="BH166" i="18"/>
  <c r="BI166" i="18"/>
  <c r="BK166" i="18"/>
  <c r="J169" i="18"/>
  <c r="P169" i="18"/>
  <c r="R169" i="18"/>
  <c r="T169" i="18"/>
  <c r="BE169" i="18"/>
  <c r="BF169" i="18"/>
  <c r="BG169" i="18"/>
  <c r="BH169" i="18"/>
  <c r="BI169" i="18"/>
  <c r="BK169" i="18"/>
  <c r="J171" i="18"/>
  <c r="P171" i="18"/>
  <c r="R171" i="18"/>
  <c r="T171" i="18"/>
  <c r="BE171" i="18"/>
  <c r="BF171" i="18"/>
  <c r="BG171" i="18"/>
  <c r="BH171" i="18"/>
  <c r="BI171" i="18"/>
  <c r="BK171" i="18"/>
  <c r="J174" i="18"/>
  <c r="P174" i="18"/>
  <c r="R174" i="18"/>
  <c r="T174" i="18"/>
  <c r="BE174" i="18"/>
  <c r="BF174" i="18"/>
  <c r="BG174" i="18"/>
  <c r="BH174" i="18"/>
  <c r="BI174" i="18"/>
  <c r="BK174" i="18"/>
  <c r="J176" i="18"/>
  <c r="BE176" i="18"/>
  <c r="P176" i="18"/>
  <c r="R176" i="18"/>
  <c r="T176" i="18"/>
  <c r="BF176" i="18"/>
  <c r="BG176" i="18"/>
  <c r="BH176" i="18"/>
  <c r="BI176" i="18"/>
  <c r="BK176" i="18"/>
  <c r="J178" i="18"/>
  <c r="P178" i="18"/>
  <c r="R178" i="18"/>
  <c r="T178" i="18"/>
  <c r="BE178" i="18"/>
  <c r="BF178" i="18"/>
  <c r="BG178" i="18"/>
  <c r="BH178" i="18"/>
  <c r="BI178" i="18"/>
  <c r="BK178" i="18"/>
  <c r="J180" i="18"/>
  <c r="P180" i="18"/>
  <c r="R180" i="18"/>
  <c r="T180" i="18"/>
  <c r="BE180" i="18"/>
  <c r="BF180" i="18"/>
  <c r="BG180" i="18"/>
  <c r="BH180" i="18"/>
  <c r="BI180" i="18"/>
  <c r="BK180" i="18"/>
  <c r="E7" i="19"/>
  <c r="J12" i="19"/>
  <c r="J17" i="19"/>
  <c r="E18" i="19"/>
  <c r="J18" i="19"/>
  <c r="J35" i="19"/>
  <c r="J36" i="19"/>
  <c r="J37" i="19"/>
  <c r="E48" i="19"/>
  <c r="E50" i="19"/>
  <c r="F52" i="19"/>
  <c r="F54" i="19"/>
  <c r="J54" i="19"/>
  <c r="F55" i="19"/>
  <c r="J55" i="19"/>
  <c r="E76" i="19"/>
  <c r="E78" i="19"/>
  <c r="F80" i="19"/>
  <c r="F82" i="19"/>
  <c r="J82" i="19"/>
  <c r="F83" i="19"/>
  <c r="J83" i="19"/>
  <c r="T87" i="19"/>
  <c r="T88" i="19"/>
  <c r="J89" i="19"/>
  <c r="P89" i="19"/>
  <c r="P88" i="19"/>
  <c r="P87" i="19"/>
  <c r="R89" i="19"/>
  <c r="R88" i="19"/>
  <c r="R87" i="19"/>
  <c r="T89" i="19"/>
  <c r="BE89" i="19"/>
  <c r="BF89" i="19"/>
  <c r="BG89" i="19"/>
  <c r="BH89" i="19"/>
  <c r="BI89" i="19"/>
  <c r="F37" i="19"/>
  <c r="BK89" i="19"/>
  <c r="BK88" i="19"/>
  <c r="R93" i="19"/>
  <c r="R92" i="19"/>
  <c r="J94" i="19"/>
  <c r="P94" i="19"/>
  <c r="R94" i="19"/>
  <c r="T94" i="19"/>
  <c r="BE94" i="19"/>
  <c r="BF94" i="19"/>
  <c r="F34" i="19"/>
  <c r="BG94" i="19"/>
  <c r="BH94" i="19"/>
  <c r="BI94" i="19"/>
  <c r="BK94" i="19"/>
  <c r="J96" i="19"/>
  <c r="P96" i="19"/>
  <c r="R96" i="19"/>
  <c r="T96" i="19"/>
  <c r="T93" i="19"/>
  <c r="T92" i="19"/>
  <c r="BE96" i="19"/>
  <c r="BF96" i="19"/>
  <c r="BG96" i="19"/>
  <c r="BH96" i="19"/>
  <c r="BI96" i="19"/>
  <c r="BK96" i="19"/>
  <c r="J98" i="19"/>
  <c r="P98" i="19"/>
  <c r="P93" i="19"/>
  <c r="P92" i="19"/>
  <c r="R98" i="19"/>
  <c r="T98" i="19"/>
  <c r="BE98" i="19"/>
  <c r="BF98" i="19"/>
  <c r="BG98" i="19"/>
  <c r="BH98" i="19"/>
  <c r="BI98" i="19"/>
  <c r="BK98" i="19"/>
  <c r="J100" i="19"/>
  <c r="BE100" i="19"/>
  <c r="P100" i="19"/>
  <c r="R100" i="19"/>
  <c r="T100" i="19"/>
  <c r="BF100" i="19"/>
  <c r="BG100" i="19"/>
  <c r="BH100" i="19"/>
  <c r="BI100" i="19"/>
  <c r="BK100" i="19"/>
  <c r="J104" i="19"/>
  <c r="P104" i="19"/>
  <c r="R104" i="19"/>
  <c r="R103" i="19"/>
  <c r="T104" i="19"/>
  <c r="T103" i="19"/>
  <c r="T102" i="19"/>
  <c r="BE104" i="19"/>
  <c r="BF104" i="19"/>
  <c r="BG104" i="19"/>
  <c r="BH104" i="19"/>
  <c r="BI104" i="19"/>
  <c r="BK104" i="19"/>
  <c r="J106" i="19"/>
  <c r="P106" i="19"/>
  <c r="P103" i="19"/>
  <c r="R106" i="19"/>
  <c r="T106" i="19"/>
  <c r="BE106" i="19"/>
  <c r="BF106" i="19"/>
  <c r="BG106" i="19"/>
  <c r="BH106" i="19"/>
  <c r="BI106" i="19"/>
  <c r="BK106" i="19"/>
  <c r="J108" i="19"/>
  <c r="BE108" i="19"/>
  <c r="P108" i="19"/>
  <c r="P107" i="19"/>
  <c r="R108" i="19"/>
  <c r="T108" i="19"/>
  <c r="T107" i="19"/>
  <c r="BF108" i="19"/>
  <c r="BG108" i="19"/>
  <c r="BH108" i="19"/>
  <c r="BI108" i="19"/>
  <c r="BK108" i="19"/>
  <c r="BK107" i="19"/>
  <c r="J107" i="19"/>
  <c r="J66" i="19"/>
  <c r="J110" i="19"/>
  <c r="BE110" i="19"/>
  <c r="P110" i="19"/>
  <c r="R110" i="19"/>
  <c r="T110" i="19"/>
  <c r="BF110" i="19"/>
  <c r="BG110" i="19"/>
  <c r="BH110" i="19"/>
  <c r="BI110" i="19"/>
  <c r="BK110" i="19"/>
  <c r="J113" i="19"/>
  <c r="P113" i="19"/>
  <c r="R113" i="19"/>
  <c r="T113" i="19"/>
  <c r="BE113" i="19"/>
  <c r="BF113" i="19"/>
  <c r="BG113" i="19"/>
  <c r="BH113" i="19"/>
  <c r="BI113" i="19"/>
  <c r="BK113" i="19"/>
  <c r="J117" i="19"/>
  <c r="P117" i="19"/>
  <c r="R117" i="19"/>
  <c r="T117" i="19"/>
  <c r="BE117" i="19"/>
  <c r="BF117" i="19"/>
  <c r="BG117" i="19"/>
  <c r="BH117" i="19"/>
  <c r="BI117" i="19"/>
  <c r="BK117" i="19"/>
  <c r="J120" i="19"/>
  <c r="BE120" i="19"/>
  <c r="P120" i="19"/>
  <c r="R120" i="19"/>
  <c r="T120" i="19"/>
  <c r="BF120" i="19"/>
  <c r="BG120" i="19"/>
  <c r="BH120" i="19"/>
  <c r="BI120" i="19"/>
  <c r="BK120" i="19"/>
  <c r="J123" i="19"/>
  <c r="BE123" i="19"/>
  <c r="P123" i="19"/>
  <c r="R123" i="19"/>
  <c r="T123" i="19"/>
  <c r="BF123" i="19"/>
  <c r="BG123" i="19"/>
  <c r="BH123" i="19"/>
  <c r="BI123" i="19"/>
  <c r="BK123" i="19"/>
  <c r="J126" i="19"/>
  <c r="P126" i="19"/>
  <c r="R126" i="19"/>
  <c r="T126" i="19"/>
  <c r="BE126" i="19"/>
  <c r="BF126" i="19"/>
  <c r="BG126" i="19"/>
  <c r="BH126" i="19"/>
  <c r="BI126" i="19"/>
  <c r="BK126" i="19"/>
  <c r="J128" i="19"/>
  <c r="P128" i="19"/>
  <c r="R128" i="19"/>
  <c r="T128" i="19"/>
  <c r="BE128" i="19"/>
  <c r="BF128" i="19"/>
  <c r="BG128" i="19"/>
  <c r="BH128" i="19"/>
  <c r="BI128" i="19"/>
  <c r="BK128" i="19"/>
  <c r="J130" i="19"/>
  <c r="P130" i="19"/>
  <c r="R130" i="19"/>
  <c r="T130" i="19"/>
  <c r="BE130" i="19"/>
  <c r="BF130" i="19"/>
  <c r="BG130" i="19"/>
  <c r="BH130" i="19"/>
  <c r="BI130" i="19"/>
  <c r="BK130" i="19"/>
  <c r="E7" i="20"/>
  <c r="J12" i="20"/>
  <c r="J52" i="20"/>
  <c r="J17" i="20"/>
  <c r="E18" i="20"/>
  <c r="F55" i="20"/>
  <c r="J18" i="20"/>
  <c r="F34" i="20"/>
  <c r="J35" i="20"/>
  <c r="J36" i="20"/>
  <c r="J37" i="20"/>
  <c r="E50" i="20"/>
  <c r="F52" i="20"/>
  <c r="F54" i="20"/>
  <c r="J54" i="20"/>
  <c r="J55" i="20"/>
  <c r="E74" i="20"/>
  <c r="F76" i="20"/>
  <c r="J76" i="20"/>
  <c r="F78" i="20"/>
  <c r="J78" i="20"/>
  <c r="F79" i="20"/>
  <c r="J79" i="20"/>
  <c r="P84" i="20"/>
  <c r="J85" i="20"/>
  <c r="P85" i="20"/>
  <c r="R85" i="20"/>
  <c r="T85" i="20"/>
  <c r="T84" i="20"/>
  <c r="T83" i="20"/>
  <c r="T82" i="20"/>
  <c r="BE85" i="20"/>
  <c r="BF85" i="20"/>
  <c r="J34" i="20"/>
  <c r="BG85" i="20"/>
  <c r="BH85" i="20"/>
  <c r="F36" i="20"/>
  <c r="BI85" i="20"/>
  <c r="BK85" i="20"/>
  <c r="J88" i="20"/>
  <c r="P88" i="20"/>
  <c r="R88" i="20"/>
  <c r="T88" i="20"/>
  <c r="BE88" i="20"/>
  <c r="BF88" i="20"/>
  <c r="BG88" i="20"/>
  <c r="BH88" i="20"/>
  <c r="BI88" i="20"/>
  <c r="BK88" i="20"/>
  <c r="J90" i="20"/>
  <c r="BE90" i="20"/>
  <c r="P90" i="20"/>
  <c r="R90" i="20"/>
  <c r="T90" i="20"/>
  <c r="BF90" i="20"/>
  <c r="BG90" i="20"/>
  <c r="BH90" i="20"/>
  <c r="BI90" i="20"/>
  <c r="BK90" i="20"/>
  <c r="BK84" i="20"/>
  <c r="J92" i="20"/>
  <c r="P92" i="20"/>
  <c r="R92" i="20"/>
  <c r="T92" i="20"/>
  <c r="BE92" i="20"/>
  <c r="BF92" i="20"/>
  <c r="BG92" i="20"/>
  <c r="BH92" i="20"/>
  <c r="BI92" i="20"/>
  <c r="BK92" i="20"/>
  <c r="J94" i="20"/>
  <c r="P94" i="20"/>
  <c r="R94" i="20"/>
  <c r="T94" i="20"/>
  <c r="BE94" i="20"/>
  <c r="BF94" i="20"/>
  <c r="BG94" i="20"/>
  <c r="BH94" i="20"/>
  <c r="BI94" i="20"/>
  <c r="BK94" i="20"/>
  <c r="J97" i="20"/>
  <c r="P97" i="20"/>
  <c r="R97" i="20"/>
  <c r="T97" i="20"/>
  <c r="BE97" i="20"/>
  <c r="BF97" i="20"/>
  <c r="BG97" i="20"/>
  <c r="BH97" i="20"/>
  <c r="BI97" i="20"/>
  <c r="BK97" i="20"/>
  <c r="J99" i="20"/>
  <c r="BE99" i="20"/>
  <c r="P99" i="20"/>
  <c r="R99" i="20"/>
  <c r="T99" i="20"/>
  <c r="BF99" i="20"/>
  <c r="BG99" i="20"/>
  <c r="BH99" i="20"/>
  <c r="BI99" i="20"/>
  <c r="BK99" i="20"/>
  <c r="J101" i="20"/>
  <c r="P101" i="20"/>
  <c r="R101" i="20"/>
  <c r="T101" i="20"/>
  <c r="BE101" i="20"/>
  <c r="BF101" i="20"/>
  <c r="BG101" i="20"/>
  <c r="BH101" i="20"/>
  <c r="BI101" i="20"/>
  <c r="BK101" i="20"/>
  <c r="J103" i="20"/>
  <c r="P103" i="20"/>
  <c r="R103" i="20"/>
  <c r="T103" i="20"/>
  <c r="BE103" i="20"/>
  <c r="BF103" i="20"/>
  <c r="BG103" i="20"/>
  <c r="BH103" i="20"/>
  <c r="BI103" i="20"/>
  <c r="BK103" i="20"/>
  <c r="J105" i="20"/>
  <c r="P105" i="20"/>
  <c r="R105" i="20"/>
  <c r="T105" i="20"/>
  <c r="BE105" i="20"/>
  <c r="BF105" i="20"/>
  <c r="BG105" i="20"/>
  <c r="BH105" i="20"/>
  <c r="BI105" i="20"/>
  <c r="BK105" i="20"/>
  <c r="J107" i="20"/>
  <c r="BE107" i="20"/>
  <c r="P107" i="20"/>
  <c r="R107" i="20"/>
  <c r="T107" i="20"/>
  <c r="BF107" i="20"/>
  <c r="BG107" i="20"/>
  <c r="BH107" i="20"/>
  <c r="BI107" i="20"/>
  <c r="BK107" i="20"/>
  <c r="J110" i="20"/>
  <c r="P110" i="20"/>
  <c r="R110" i="20"/>
  <c r="T110" i="20"/>
  <c r="BE110" i="20"/>
  <c r="BF110" i="20"/>
  <c r="BG110" i="20"/>
  <c r="BH110" i="20"/>
  <c r="BI110" i="20"/>
  <c r="BK110" i="20"/>
  <c r="J111" i="20"/>
  <c r="P111" i="20"/>
  <c r="R111" i="20"/>
  <c r="T111" i="20"/>
  <c r="BE111" i="20"/>
  <c r="BF111" i="20"/>
  <c r="BG111" i="20"/>
  <c r="BH111" i="20"/>
  <c r="BI111" i="20"/>
  <c r="BK111" i="20"/>
  <c r="R114" i="20"/>
  <c r="T114" i="20"/>
  <c r="J115" i="20"/>
  <c r="P115" i="20"/>
  <c r="P114" i="20"/>
  <c r="R115" i="20"/>
  <c r="T115" i="20"/>
  <c r="BE115" i="20"/>
  <c r="BF115" i="20"/>
  <c r="BG115" i="20"/>
  <c r="BH115" i="20"/>
  <c r="BI115" i="20"/>
  <c r="BK115" i="20"/>
  <c r="BK114" i="20"/>
  <c r="J114" i="20"/>
  <c r="J62" i="20"/>
  <c r="E7" i="21"/>
  <c r="J12" i="21"/>
  <c r="J17" i="21"/>
  <c r="E18" i="21"/>
  <c r="J18" i="21"/>
  <c r="J35" i="21"/>
  <c r="AX114" i="1"/>
  <c r="J36" i="21"/>
  <c r="AY114" i="1"/>
  <c r="J37" i="21"/>
  <c r="E48" i="21"/>
  <c r="E50" i="21"/>
  <c r="F52" i="21"/>
  <c r="J52" i="21"/>
  <c r="F54" i="21"/>
  <c r="J54" i="21"/>
  <c r="J55" i="21"/>
  <c r="E79" i="21"/>
  <c r="E81" i="21"/>
  <c r="F83" i="21"/>
  <c r="J83" i="21"/>
  <c r="F85" i="21"/>
  <c r="J85" i="21"/>
  <c r="J86" i="21"/>
  <c r="R90" i="21"/>
  <c r="J92" i="21"/>
  <c r="BE92" i="21"/>
  <c r="P92" i="21"/>
  <c r="P91" i="21"/>
  <c r="P90" i="21"/>
  <c r="R92" i="21"/>
  <c r="R91" i="21"/>
  <c r="T92" i="21"/>
  <c r="T91" i="21"/>
  <c r="T90" i="21"/>
  <c r="BF92" i="21"/>
  <c r="BG92" i="21"/>
  <c r="BH92" i="21"/>
  <c r="BI92" i="21"/>
  <c r="BK92" i="21"/>
  <c r="BK91" i="21"/>
  <c r="AG94" i="21"/>
  <c r="J96" i="21"/>
  <c r="P96" i="21"/>
  <c r="R96" i="21"/>
  <c r="T96" i="21"/>
  <c r="T95" i="21"/>
  <c r="BE96" i="21"/>
  <c r="BF96" i="21"/>
  <c r="BG96" i="21"/>
  <c r="BH96" i="21"/>
  <c r="BI96" i="21"/>
  <c r="BK96" i="21"/>
  <c r="J98" i="21"/>
  <c r="P98" i="21"/>
  <c r="P95" i="21"/>
  <c r="R98" i="21"/>
  <c r="R95" i="21"/>
  <c r="T98" i="21"/>
  <c r="BE98" i="21"/>
  <c r="BF98" i="21"/>
  <c r="BG98" i="21"/>
  <c r="BH98" i="21"/>
  <c r="BI98" i="21"/>
  <c r="BK98" i="21"/>
  <c r="J100" i="21"/>
  <c r="BE100" i="21"/>
  <c r="P100" i="21"/>
  <c r="R100" i="21"/>
  <c r="T100" i="21"/>
  <c r="BF100" i="21"/>
  <c r="BG100" i="21"/>
  <c r="BH100" i="21"/>
  <c r="BI100" i="21"/>
  <c r="BK100" i="21"/>
  <c r="J102" i="21"/>
  <c r="P102" i="21"/>
  <c r="R102" i="21"/>
  <c r="T102" i="21"/>
  <c r="BE102" i="21"/>
  <c r="BF102" i="21"/>
  <c r="BG102" i="21"/>
  <c r="BH102" i="21"/>
  <c r="BI102" i="21"/>
  <c r="BK102" i="21"/>
  <c r="J104" i="21"/>
  <c r="P104" i="21"/>
  <c r="R104" i="21"/>
  <c r="T104" i="21"/>
  <c r="BE104" i="21"/>
  <c r="BF104" i="21"/>
  <c r="BG104" i="21"/>
  <c r="BH104" i="21"/>
  <c r="BI104" i="21"/>
  <c r="BK104" i="21"/>
  <c r="J106" i="21"/>
  <c r="P106" i="21"/>
  <c r="R106" i="21"/>
  <c r="T106" i="21"/>
  <c r="BE106" i="21"/>
  <c r="BF106" i="21"/>
  <c r="BG106" i="21"/>
  <c r="BH106" i="21"/>
  <c r="BI106" i="21"/>
  <c r="BK106" i="21"/>
  <c r="J108" i="21"/>
  <c r="BE108" i="21"/>
  <c r="P108" i="21"/>
  <c r="R108" i="21"/>
  <c r="T108" i="21"/>
  <c r="BF108" i="21"/>
  <c r="BG108" i="21"/>
  <c r="BH108" i="21"/>
  <c r="BI108" i="21"/>
  <c r="BK108" i="21"/>
  <c r="J110" i="21"/>
  <c r="P110" i="21"/>
  <c r="R110" i="21"/>
  <c r="T110" i="21"/>
  <c r="BE110" i="21"/>
  <c r="BF110" i="21"/>
  <c r="BG110" i="21"/>
  <c r="BH110" i="21"/>
  <c r="BI110" i="21"/>
  <c r="BK110" i="21"/>
  <c r="J112" i="21"/>
  <c r="P112" i="21"/>
  <c r="R112" i="21"/>
  <c r="T112" i="21"/>
  <c r="BE112" i="21"/>
  <c r="BF112" i="21"/>
  <c r="BG112" i="21"/>
  <c r="BH112" i="21"/>
  <c r="BI112" i="21"/>
  <c r="BK112" i="21"/>
  <c r="J114" i="21"/>
  <c r="P114" i="21"/>
  <c r="R114" i="21"/>
  <c r="T114" i="21"/>
  <c r="BE114" i="21"/>
  <c r="BF114" i="21"/>
  <c r="BG114" i="21"/>
  <c r="BH114" i="21"/>
  <c r="BI114" i="21"/>
  <c r="BK114" i="21"/>
  <c r="J116" i="21"/>
  <c r="BE116" i="21"/>
  <c r="P116" i="21"/>
  <c r="R116" i="21"/>
  <c r="T116" i="21"/>
  <c r="BF116" i="21"/>
  <c r="BG116" i="21"/>
  <c r="BH116" i="21"/>
  <c r="BI116" i="21"/>
  <c r="BK116" i="21"/>
  <c r="R118" i="21"/>
  <c r="J119" i="21"/>
  <c r="BE119" i="21"/>
  <c r="P119" i="21"/>
  <c r="P118" i="21"/>
  <c r="R119" i="21"/>
  <c r="T119" i="21"/>
  <c r="T118" i="21"/>
  <c r="BF119" i="21"/>
  <c r="BG119" i="21"/>
  <c r="BH119" i="21"/>
  <c r="BI119" i="21"/>
  <c r="BK119" i="21"/>
  <c r="BK118" i="21"/>
  <c r="J118" i="21"/>
  <c r="J64" i="21"/>
  <c r="J121" i="21"/>
  <c r="P121" i="21"/>
  <c r="R121" i="21"/>
  <c r="T121" i="21"/>
  <c r="BE121" i="21"/>
  <c r="BF121" i="21"/>
  <c r="BG121" i="21"/>
  <c r="BH121" i="21"/>
  <c r="BI121" i="21"/>
  <c r="BK121" i="21"/>
  <c r="J124" i="21"/>
  <c r="BE124" i="21"/>
  <c r="P124" i="21"/>
  <c r="R124" i="21"/>
  <c r="R123" i="21"/>
  <c r="T124" i="21"/>
  <c r="BF124" i="21"/>
  <c r="BG124" i="21"/>
  <c r="BH124" i="21"/>
  <c r="BI124" i="21"/>
  <c r="BK124" i="21"/>
  <c r="J126" i="21"/>
  <c r="P126" i="21"/>
  <c r="AU114" i="1"/>
  <c r="R126" i="21"/>
  <c r="T126" i="21"/>
  <c r="T123" i="21"/>
  <c r="BE126" i="21"/>
  <c r="BF126" i="21"/>
  <c r="BG126" i="21"/>
  <c r="BH126" i="21"/>
  <c r="BI126" i="21"/>
  <c r="BK126" i="21"/>
  <c r="J128" i="21"/>
  <c r="P128" i="21"/>
  <c r="P123" i="21"/>
  <c r="R128" i="21"/>
  <c r="T128" i="21"/>
  <c r="BE128" i="21"/>
  <c r="BF128" i="21"/>
  <c r="BG128" i="21"/>
  <c r="BH128" i="21"/>
  <c r="BI128" i="21"/>
  <c r="BK128" i="21"/>
  <c r="J130" i="21"/>
  <c r="P130" i="21"/>
  <c r="R130" i="21"/>
  <c r="T130" i="21"/>
  <c r="BE130" i="21"/>
  <c r="BF130" i="21"/>
  <c r="BG130" i="21"/>
  <c r="BH130" i="21"/>
  <c r="BI130" i="21"/>
  <c r="BK130" i="21"/>
  <c r="BK123" i="21"/>
  <c r="J123" i="21"/>
  <c r="J65" i="21"/>
  <c r="J132" i="21"/>
  <c r="BE132" i="21"/>
  <c r="P132" i="21"/>
  <c r="R132" i="21"/>
  <c r="T132" i="21"/>
  <c r="BF132" i="21"/>
  <c r="BG132" i="21"/>
  <c r="BH132" i="21"/>
  <c r="BI132" i="21"/>
  <c r="BK132" i="21"/>
  <c r="J134" i="21"/>
  <c r="P134" i="21"/>
  <c r="R134" i="21"/>
  <c r="T134" i="21"/>
  <c r="BE134" i="21"/>
  <c r="BF134" i="21"/>
  <c r="BG134" i="21"/>
  <c r="BH134" i="21"/>
  <c r="BI134" i="21"/>
  <c r="BK134" i="21"/>
  <c r="BK136" i="21"/>
  <c r="J136" i="21"/>
  <c r="J66" i="21"/>
  <c r="J137" i="21"/>
  <c r="P137" i="21"/>
  <c r="R137" i="21"/>
  <c r="T137" i="21"/>
  <c r="BE137" i="21"/>
  <c r="BF137" i="21"/>
  <c r="BG137" i="21"/>
  <c r="BH137" i="21"/>
  <c r="BI137" i="21"/>
  <c r="BK137" i="21"/>
  <c r="J139" i="21"/>
  <c r="P139" i="21"/>
  <c r="R139" i="21"/>
  <c r="T139" i="21"/>
  <c r="BE139" i="21"/>
  <c r="BF139" i="21"/>
  <c r="BG139" i="21"/>
  <c r="BH139" i="21"/>
  <c r="BI139" i="21"/>
  <c r="BK139" i="21"/>
  <c r="J141" i="21"/>
  <c r="P141" i="21"/>
  <c r="R141" i="21"/>
  <c r="R136" i="21"/>
  <c r="T141" i="21"/>
  <c r="T136" i="21"/>
  <c r="BE141" i="21"/>
  <c r="BF141" i="21"/>
  <c r="BG141" i="21"/>
  <c r="BH141" i="21"/>
  <c r="BI141" i="21"/>
  <c r="BK141" i="21"/>
  <c r="J143" i="21"/>
  <c r="BE143" i="21"/>
  <c r="P143" i="21"/>
  <c r="R143" i="21"/>
  <c r="T143" i="21"/>
  <c r="BF143" i="21"/>
  <c r="BG143" i="21"/>
  <c r="BH143" i="21"/>
  <c r="BI143" i="21"/>
  <c r="BK143" i="21"/>
  <c r="J145" i="21"/>
  <c r="P145" i="21"/>
  <c r="R145" i="21"/>
  <c r="T145" i="21"/>
  <c r="BE145" i="21"/>
  <c r="BF145" i="21"/>
  <c r="BG145" i="21"/>
  <c r="BH145" i="21"/>
  <c r="BI145" i="21"/>
  <c r="BK145" i="21"/>
  <c r="J147" i="21"/>
  <c r="P147" i="21"/>
  <c r="R147" i="21"/>
  <c r="T147" i="21"/>
  <c r="BE147" i="21"/>
  <c r="BF147" i="21"/>
  <c r="BG147" i="21"/>
  <c r="BH147" i="21"/>
  <c r="BI147" i="21"/>
  <c r="BK147" i="21"/>
  <c r="J149" i="21"/>
  <c r="P149" i="21"/>
  <c r="R149" i="21"/>
  <c r="T149" i="21"/>
  <c r="BE149" i="21"/>
  <c r="BF149" i="21"/>
  <c r="BG149" i="21"/>
  <c r="BH149" i="21"/>
  <c r="BI149" i="21"/>
  <c r="BK149" i="21"/>
  <c r="P151" i="21"/>
  <c r="R151" i="21"/>
  <c r="P152" i="21"/>
  <c r="R152" i="21"/>
  <c r="T152" i="21"/>
  <c r="T151" i="21"/>
  <c r="BF152" i="21"/>
  <c r="BG152" i="21"/>
  <c r="BH152" i="21"/>
  <c r="BI152" i="21"/>
  <c r="BK153" i="21"/>
  <c r="J153" i="21"/>
  <c r="J68" i="21"/>
  <c r="J154" i="21"/>
  <c r="P154" i="21"/>
  <c r="R154" i="21"/>
  <c r="T154" i="21"/>
  <c r="BE154" i="21"/>
  <c r="BF154" i="21"/>
  <c r="BG154" i="21"/>
  <c r="BH154" i="21"/>
  <c r="BI154" i="21"/>
  <c r="BK154" i="21"/>
  <c r="J156" i="21"/>
  <c r="P156" i="21"/>
  <c r="R156" i="21"/>
  <c r="T156" i="21"/>
  <c r="BE156" i="21"/>
  <c r="BF156" i="21"/>
  <c r="BG156" i="21"/>
  <c r="BH156" i="21"/>
  <c r="BI156" i="21"/>
  <c r="BK156" i="21"/>
  <c r="J158" i="21"/>
  <c r="BE158" i="21"/>
  <c r="P158" i="21"/>
  <c r="P153" i="21"/>
  <c r="R158" i="21"/>
  <c r="R153" i="21"/>
  <c r="T158" i="21"/>
  <c r="T153" i="21"/>
  <c r="BF158" i="21"/>
  <c r="BG158" i="21"/>
  <c r="BH158" i="21"/>
  <c r="BI158" i="21"/>
  <c r="BK158" i="21"/>
  <c r="P160" i="21"/>
  <c r="J161" i="21"/>
  <c r="P161" i="21"/>
  <c r="R161" i="21"/>
  <c r="R160" i="21"/>
  <c r="T161" i="21"/>
  <c r="T160" i="21"/>
  <c r="BE161" i="21"/>
  <c r="BF161" i="21"/>
  <c r="BG161" i="21"/>
  <c r="BH161" i="21"/>
  <c r="BI161" i="21"/>
  <c r="BK161" i="21"/>
  <c r="BK160" i="21"/>
  <c r="J160" i="21"/>
  <c r="J69" i="21"/>
  <c r="J163" i="21"/>
  <c r="BE163" i="21"/>
  <c r="P163" i="21"/>
  <c r="R163" i="21"/>
  <c r="T163" i="21"/>
  <c r="BF163" i="21"/>
  <c r="BG163" i="21"/>
  <c r="BH163" i="21"/>
  <c r="BI163" i="21"/>
  <c r="BK163" i="21"/>
  <c r="J164" i="21"/>
  <c r="BE164" i="21"/>
  <c r="P164" i="21"/>
  <c r="R164" i="21"/>
  <c r="T164" i="21"/>
  <c r="BF164" i="21"/>
  <c r="BG164" i="21"/>
  <c r="BH164" i="21"/>
  <c r="BI164" i="21"/>
  <c r="BK164" i="21"/>
  <c r="J166" i="21"/>
  <c r="P166" i="21"/>
  <c r="R166" i="21"/>
  <c r="T166" i="21"/>
  <c r="BE166" i="21"/>
  <c r="BF166" i="21"/>
  <c r="BG166" i="21"/>
  <c r="BH166" i="21"/>
  <c r="BI166" i="21"/>
  <c r="BK166" i="21"/>
  <c r="J168" i="21"/>
  <c r="P168" i="21"/>
  <c r="R168" i="21"/>
  <c r="T168" i="21"/>
  <c r="BE168" i="21"/>
  <c r="BF168" i="21"/>
  <c r="BG168" i="21"/>
  <c r="BH168" i="21"/>
  <c r="BI168" i="21"/>
  <c r="BK168" i="21"/>
  <c r="BK92" i="18"/>
  <c r="J92" i="18"/>
  <c r="J62" i="18"/>
  <c r="J93" i="18"/>
  <c r="J63" i="18"/>
  <c r="T94" i="21"/>
  <c r="F36" i="17"/>
  <c r="F35" i="16"/>
  <c r="BK83" i="15"/>
  <c r="J84" i="15"/>
  <c r="J61" i="15"/>
  <c r="F33" i="15"/>
  <c r="J33" i="15"/>
  <c r="F37" i="14"/>
  <c r="J87" i="14"/>
  <c r="J61" i="14"/>
  <c r="F35" i="12"/>
  <c r="J89" i="12"/>
  <c r="J60" i="12"/>
  <c r="F37" i="21"/>
  <c r="BD114" i="1"/>
  <c r="T86" i="19"/>
  <c r="F34" i="18"/>
  <c r="BK313" i="17"/>
  <c r="J313" i="17"/>
  <c r="J70" i="17"/>
  <c r="J314" i="17"/>
  <c r="J71" i="17"/>
  <c r="F34" i="17"/>
  <c r="P86" i="16"/>
  <c r="P85" i="16"/>
  <c r="T86" i="16"/>
  <c r="T85" i="16"/>
  <c r="F34" i="16"/>
  <c r="J34" i="16"/>
  <c r="E48" i="13"/>
  <c r="E75" i="13"/>
  <c r="J86" i="17"/>
  <c r="J52" i="17"/>
  <c r="T164" i="8"/>
  <c r="J52" i="19"/>
  <c r="J80" i="19"/>
  <c r="BK95" i="21"/>
  <c r="F34" i="21"/>
  <c r="BA114" i="1"/>
  <c r="F37" i="20"/>
  <c r="E48" i="20"/>
  <c r="E72" i="20"/>
  <c r="R130" i="18"/>
  <c r="R87" i="18"/>
  <c r="F33" i="18"/>
  <c r="R192" i="17"/>
  <c r="F33" i="16"/>
  <c r="BK343" i="7"/>
  <c r="J343" i="7"/>
  <c r="J106" i="7"/>
  <c r="J344" i="7"/>
  <c r="J107" i="7"/>
  <c r="F35" i="21"/>
  <c r="BB114" i="1"/>
  <c r="T89" i="21"/>
  <c r="P83" i="20"/>
  <c r="P82" i="20"/>
  <c r="BK103" i="19"/>
  <c r="F36" i="19"/>
  <c r="BK93" i="19"/>
  <c r="F33" i="19"/>
  <c r="BK131" i="18"/>
  <c r="P131" i="18"/>
  <c r="P130" i="18"/>
  <c r="F33" i="17"/>
  <c r="F35" i="15"/>
  <c r="F35" i="14"/>
  <c r="F34" i="13"/>
  <c r="P102" i="19"/>
  <c r="F55" i="21"/>
  <c r="F86" i="21"/>
  <c r="F35" i="20"/>
  <c r="BK265" i="17"/>
  <c r="J265" i="17"/>
  <c r="J65" i="17"/>
  <c r="P265" i="17"/>
  <c r="P94" i="17"/>
  <c r="T94" i="17"/>
  <c r="T93" i="17"/>
  <c r="T92" i="17"/>
  <c r="F34" i="15"/>
  <c r="P124" i="14"/>
  <c r="T124" i="14"/>
  <c r="T86" i="14"/>
  <c r="T85" i="14"/>
  <c r="F34" i="8"/>
  <c r="BA101" i="1"/>
  <c r="F33" i="13"/>
  <c r="J33" i="13"/>
  <c r="J34" i="19"/>
  <c r="J88" i="18"/>
  <c r="J60" i="18"/>
  <c r="F35" i="17"/>
  <c r="BK94" i="17"/>
  <c r="R93" i="17"/>
  <c r="R92" i="17"/>
  <c r="R104" i="16"/>
  <c r="R86" i="16"/>
  <c r="R85" i="16"/>
  <c r="BK87" i="16"/>
  <c r="BK124" i="14"/>
  <c r="J124" i="14"/>
  <c r="J63" i="14"/>
  <c r="R100" i="14"/>
  <c r="R86" i="14"/>
  <c r="R85" i="14"/>
  <c r="R94" i="21"/>
  <c r="R89" i="21"/>
  <c r="F36" i="21"/>
  <c r="BC114" i="1"/>
  <c r="P93" i="18"/>
  <c r="P92" i="18"/>
  <c r="P87" i="18"/>
  <c r="P136" i="21"/>
  <c r="P94" i="21"/>
  <c r="P89" i="21"/>
  <c r="BK90" i="21"/>
  <c r="J91" i="21"/>
  <c r="J61" i="21"/>
  <c r="BK83" i="20"/>
  <c r="J84" i="20"/>
  <c r="J61" i="20"/>
  <c r="R84" i="20"/>
  <c r="R83" i="20"/>
  <c r="R82" i="20"/>
  <c r="F33" i="20"/>
  <c r="J33" i="20"/>
  <c r="R107" i="19"/>
  <c r="R102" i="19"/>
  <c r="R86" i="19"/>
  <c r="F35" i="19"/>
  <c r="BK87" i="19"/>
  <c r="J88" i="19"/>
  <c r="J61" i="19"/>
  <c r="P86" i="19"/>
  <c r="T93" i="18"/>
  <c r="T92" i="18"/>
  <c r="T87" i="18"/>
  <c r="F37" i="18"/>
  <c r="BK308" i="17"/>
  <c r="J308" i="17"/>
  <c r="J68" i="17"/>
  <c r="J309" i="17"/>
  <c r="J69" i="17"/>
  <c r="F37" i="16"/>
  <c r="R124" i="8"/>
  <c r="P87" i="14"/>
  <c r="P86" i="14"/>
  <c r="P85" i="14"/>
  <c r="R153" i="13"/>
  <c r="R86" i="13"/>
  <c r="R85" i="13"/>
  <c r="R183" i="12"/>
  <c r="R182" i="12"/>
  <c r="F34" i="12"/>
  <c r="F33" i="11"/>
  <c r="J33" i="11"/>
  <c r="J78" i="11"/>
  <c r="J52" i="11"/>
  <c r="F35" i="10"/>
  <c r="BB103" i="1"/>
  <c r="J34" i="8"/>
  <c r="AW101" i="1"/>
  <c r="J34" i="21"/>
  <c r="AW114" i="1"/>
  <c r="J33" i="19"/>
  <c r="J33" i="17"/>
  <c r="F33" i="14"/>
  <c r="F33" i="12"/>
  <c r="BK122" i="11"/>
  <c r="J122" i="11"/>
  <c r="J62" i="11"/>
  <c r="F37" i="11"/>
  <c r="BK122" i="9"/>
  <c r="F33" i="9"/>
  <c r="AZ102" i="1"/>
  <c r="J33" i="9"/>
  <c r="AV102" i="1"/>
  <c r="F37" i="8"/>
  <c r="BD101" i="1"/>
  <c r="J34" i="18"/>
  <c r="BK87" i="13"/>
  <c r="T155" i="12"/>
  <c r="P90" i="12"/>
  <c r="P89" i="12"/>
  <c r="P88" i="12"/>
  <c r="T90" i="12"/>
  <c r="F36" i="11"/>
  <c r="R121" i="10"/>
  <c r="R120" i="10"/>
  <c r="R119" i="10"/>
  <c r="F33" i="10"/>
  <c r="AZ103" i="1"/>
  <c r="J33" i="10"/>
  <c r="AV103" i="1"/>
  <c r="AT103" i="1"/>
  <c r="BK132" i="9"/>
  <c r="R120" i="9"/>
  <c r="F36" i="8"/>
  <c r="BC101" i="1"/>
  <c r="BK125" i="8"/>
  <c r="J126" i="8"/>
  <c r="J98" i="8"/>
  <c r="BK123" i="4"/>
  <c r="J124" i="4"/>
  <c r="J98" i="4"/>
  <c r="J34" i="15"/>
  <c r="F37" i="13"/>
  <c r="BK182" i="12"/>
  <c r="J182" i="12"/>
  <c r="J67" i="12"/>
  <c r="J183" i="12"/>
  <c r="J68" i="12"/>
  <c r="R90" i="12"/>
  <c r="R89" i="12"/>
  <c r="R88" i="12"/>
  <c r="F35" i="11"/>
  <c r="T120" i="10"/>
  <c r="T119" i="10"/>
  <c r="F36" i="9"/>
  <c r="BC102" i="1"/>
  <c r="T130" i="8"/>
  <c r="T129" i="8"/>
  <c r="T124" i="8"/>
  <c r="F35" i="8"/>
  <c r="BB101" i="1"/>
  <c r="BK336" i="7"/>
  <c r="J336" i="7"/>
  <c r="J104" i="7"/>
  <c r="J337" i="7"/>
  <c r="J105" i="7"/>
  <c r="J33" i="18"/>
  <c r="F55" i="16"/>
  <c r="J33" i="16"/>
  <c r="F36" i="13"/>
  <c r="F82" i="13"/>
  <c r="F55" i="13"/>
  <c r="R143" i="11"/>
  <c r="F34" i="11"/>
  <c r="BK130" i="8"/>
  <c r="P130" i="8"/>
  <c r="P129" i="8"/>
  <c r="P124" i="8"/>
  <c r="AU101" i="1"/>
  <c r="F34" i="14"/>
  <c r="J34" i="14"/>
  <c r="T153" i="13"/>
  <c r="T86" i="13"/>
  <c r="T85" i="13"/>
  <c r="F35" i="13"/>
  <c r="F37" i="12"/>
  <c r="T122" i="11"/>
  <c r="R86" i="11"/>
  <c r="T86" i="11"/>
  <c r="BK120" i="10"/>
  <c r="J121" i="10"/>
  <c r="J98" i="10"/>
  <c r="T120" i="9"/>
  <c r="F34" i="9"/>
  <c r="BA102" i="1"/>
  <c r="J34" i="9"/>
  <c r="AW102" i="1"/>
  <c r="P185" i="8"/>
  <c r="P164" i="8"/>
  <c r="R164" i="8"/>
  <c r="F33" i="8"/>
  <c r="AZ101" i="1"/>
  <c r="P304" i="7"/>
  <c r="P153" i="13"/>
  <c r="P86" i="13"/>
  <c r="P85" i="13"/>
  <c r="J34" i="13"/>
  <c r="BK85" i="11"/>
  <c r="P85" i="11"/>
  <c r="P84" i="11"/>
  <c r="BK164" i="8"/>
  <c r="J164" i="8"/>
  <c r="J101" i="8"/>
  <c r="J165" i="8"/>
  <c r="J102" i="8"/>
  <c r="F34" i="7"/>
  <c r="BA100" i="1"/>
  <c r="BK120" i="5"/>
  <c r="J121" i="5"/>
  <c r="J98" i="5"/>
  <c r="F33" i="5"/>
  <c r="AZ98" i="1"/>
  <c r="J33" i="5"/>
  <c r="AV98" i="1"/>
  <c r="J33" i="8"/>
  <c r="AV101" i="1"/>
  <c r="AT101" i="1"/>
  <c r="J34" i="6"/>
  <c r="AW99" i="1"/>
  <c r="F36" i="6"/>
  <c r="BC99" i="1"/>
  <c r="F37" i="4"/>
  <c r="BD97" i="1"/>
  <c r="J34" i="3"/>
  <c r="AW96" i="1"/>
  <c r="AT96" i="1"/>
  <c r="F36" i="3"/>
  <c r="BC96" i="1"/>
  <c r="BC94" i="1"/>
  <c r="BK125" i="2"/>
  <c r="J126" i="2"/>
  <c r="J98" i="2"/>
  <c r="T129" i="7"/>
  <c r="BK123" i="6"/>
  <c r="J124" i="6"/>
  <c r="J98" i="6"/>
  <c r="F35" i="6"/>
  <c r="BB99" i="1"/>
  <c r="F36" i="5"/>
  <c r="BC98" i="1"/>
  <c r="P148" i="3"/>
  <c r="P123" i="3"/>
  <c r="P122" i="3"/>
  <c r="AU96" i="1"/>
  <c r="F35" i="3"/>
  <c r="BB96" i="1"/>
  <c r="R187" i="2"/>
  <c r="F37" i="2"/>
  <c r="BD95" i="1"/>
  <c r="T211" i="7"/>
  <c r="F33" i="7"/>
  <c r="AZ100" i="1"/>
  <c r="J33" i="7"/>
  <c r="AV100" i="1"/>
  <c r="AT100" i="1"/>
  <c r="F34" i="6"/>
  <c r="BA99" i="1"/>
  <c r="R184" i="4"/>
  <c r="F35" i="4"/>
  <c r="BB97" i="1"/>
  <c r="P125" i="2"/>
  <c r="P124" i="2"/>
  <c r="AU95" i="1"/>
  <c r="R211" i="7"/>
  <c r="R128" i="7"/>
  <c r="R127" i="7"/>
  <c r="F37" i="7"/>
  <c r="BD100" i="1"/>
  <c r="BK129" i="7"/>
  <c r="P129" i="7"/>
  <c r="F34" i="5"/>
  <c r="BA98" i="1"/>
  <c r="T123" i="4"/>
  <c r="T122" i="4"/>
  <c r="F34" i="4"/>
  <c r="BA97" i="1"/>
  <c r="BK230" i="2"/>
  <c r="J230" i="2"/>
  <c r="J103" i="2"/>
  <c r="F35" i="2"/>
  <c r="BB95" i="1"/>
  <c r="BB94" i="1"/>
  <c r="J33" i="12"/>
  <c r="BK211" i="7"/>
  <c r="J211" i="7"/>
  <c r="J100" i="7"/>
  <c r="P211" i="7"/>
  <c r="R124" i="6"/>
  <c r="R123" i="6"/>
  <c r="R122" i="6"/>
  <c r="R123" i="4"/>
  <c r="R122" i="4"/>
  <c r="F33" i="4"/>
  <c r="AZ97" i="1"/>
  <c r="J33" i="4"/>
  <c r="AV97" i="1"/>
  <c r="R167" i="3"/>
  <c r="R124" i="3"/>
  <c r="R123" i="3"/>
  <c r="R122" i="3"/>
  <c r="F34" i="2"/>
  <c r="BA95" i="1"/>
  <c r="F36" i="7"/>
  <c r="BC100" i="1"/>
  <c r="T157" i="6"/>
  <c r="T123" i="6"/>
  <c r="T122" i="6"/>
  <c r="P123" i="6"/>
  <c r="P122" i="6"/>
  <c r="AU99" i="1"/>
  <c r="R120" i="5"/>
  <c r="R119" i="5"/>
  <c r="F36" i="4"/>
  <c r="BC97" i="1"/>
  <c r="T148" i="3"/>
  <c r="T123" i="3"/>
  <c r="T122" i="3"/>
  <c r="T165" i="2"/>
  <c r="T125" i="2"/>
  <c r="T124" i="2"/>
  <c r="R126" i="2"/>
  <c r="R125" i="2"/>
  <c r="R124" i="2"/>
  <c r="F33" i="2"/>
  <c r="AZ95" i="1"/>
  <c r="J33" i="2"/>
  <c r="AV95" i="1"/>
  <c r="F35" i="7"/>
  <c r="BB100" i="1"/>
  <c r="F33" i="6"/>
  <c r="AZ99" i="1"/>
  <c r="J33" i="6"/>
  <c r="AV99" i="1"/>
  <c r="AT99" i="1"/>
  <c r="P151" i="4"/>
  <c r="P123" i="4"/>
  <c r="P122" i="4"/>
  <c r="AU97" i="1"/>
  <c r="F119" i="4"/>
  <c r="F92" i="4"/>
  <c r="F34" i="3"/>
  <c r="BA96" i="1"/>
  <c r="BK123" i="3"/>
  <c r="J124" i="3"/>
  <c r="J98" i="3"/>
  <c r="F33" i="3"/>
  <c r="AZ96" i="1"/>
  <c r="J89" i="7"/>
  <c r="J89" i="6"/>
  <c r="J89" i="5"/>
  <c r="J34" i="4"/>
  <c r="AW97" i="1"/>
  <c r="J34" i="7"/>
  <c r="AW100" i="1"/>
  <c r="J34" i="5"/>
  <c r="AW98" i="1"/>
  <c r="J34" i="2"/>
  <c r="AW95" i="1"/>
  <c r="F121" i="2"/>
  <c r="AY94" i="1"/>
  <c r="W32" i="1"/>
  <c r="BK119" i="5"/>
  <c r="J119" i="5"/>
  <c r="J120" i="5"/>
  <c r="J97" i="5"/>
  <c r="BK131" i="9"/>
  <c r="J131" i="9"/>
  <c r="J99" i="9"/>
  <c r="J132" i="9"/>
  <c r="J100" i="9"/>
  <c r="BK86" i="13"/>
  <c r="J87" i="13"/>
  <c r="J61" i="13"/>
  <c r="BK82" i="20"/>
  <c r="J82" i="20"/>
  <c r="J83" i="20"/>
  <c r="J60" i="20"/>
  <c r="BK88" i="12"/>
  <c r="J88" i="12"/>
  <c r="BK82" i="15"/>
  <c r="J82" i="15"/>
  <c r="J83" i="15"/>
  <c r="J60" i="15"/>
  <c r="AT97" i="1"/>
  <c r="AU94" i="1"/>
  <c r="BK119" i="10"/>
  <c r="J119" i="10"/>
  <c r="J120" i="10"/>
  <c r="J97" i="10"/>
  <c r="BD94" i="1"/>
  <c r="W33" i="1"/>
  <c r="BK122" i="6"/>
  <c r="J122" i="6"/>
  <c r="J123" i="6"/>
  <c r="J97" i="6"/>
  <c r="T85" i="11"/>
  <c r="T84" i="11"/>
  <c r="BK122" i="4"/>
  <c r="J122" i="4"/>
  <c r="J123" i="4"/>
  <c r="J97" i="4"/>
  <c r="BK86" i="16"/>
  <c r="J87" i="16"/>
  <c r="J61" i="16"/>
  <c r="J95" i="21"/>
  <c r="J63" i="21"/>
  <c r="BK86" i="14"/>
  <c r="T128" i="7"/>
  <c r="T127" i="7"/>
  <c r="R85" i="11"/>
  <c r="R84" i="11"/>
  <c r="AT102" i="1"/>
  <c r="J90" i="21"/>
  <c r="J60" i="21"/>
  <c r="BK102" i="19"/>
  <c r="J102" i="19"/>
  <c r="J64" i="19"/>
  <c r="J103" i="19"/>
  <c r="J65" i="19"/>
  <c r="BK122" i="3"/>
  <c r="J122" i="3"/>
  <c r="J123" i="3"/>
  <c r="J97" i="3"/>
  <c r="AT95" i="1"/>
  <c r="AT98" i="1"/>
  <c r="BK129" i="8"/>
  <c r="J129" i="8"/>
  <c r="J99" i="8"/>
  <c r="J130" i="8"/>
  <c r="J100" i="8"/>
  <c r="BK124" i="8"/>
  <c r="J124" i="8"/>
  <c r="J125" i="8"/>
  <c r="J97" i="8"/>
  <c r="T89" i="12"/>
  <c r="T88" i="12"/>
  <c r="P93" i="17"/>
  <c r="P92" i="17"/>
  <c r="BK130" i="18"/>
  <c r="J131" i="18"/>
  <c r="J65" i="18"/>
  <c r="AX94" i="1"/>
  <c r="W31" i="1"/>
  <c r="P128" i="7"/>
  <c r="P127" i="7"/>
  <c r="AU100" i="1"/>
  <c r="BK124" i="2"/>
  <c r="J124" i="2"/>
  <c r="J125" i="2"/>
  <c r="J97" i="2"/>
  <c r="BK121" i="9"/>
  <c r="J122" i="9"/>
  <c r="J98" i="9"/>
  <c r="BK93" i="17"/>
  <c r="J94" i="17"/>
  <c r="J61" i="17"/>
  <c r="BK86" i="19"/>
  <c r="J86" i="19"/>
  <c r="J87" i="19"/>
  <c r="J60" i="19"/>
  <c r="BA94" i="1"/>
  <c r="BK128" i="7"/>
  <c r="J129" i="7"/>
  <c r="J98" i="7"/>
  <c r="BK84" i="11"/>
  <c r="J84" i="11"/>
  <c r="J85" i="11"/>
  <c r="J60" i="11"/>
  <c r="BK92" i="19"/>
  <c r="J92" i="19"/>
  <c r="J62" i="19"/>
  <c r="J93" i="19"/>
  <c r="J63" i="19"/>
  <c r="BK92" i="17"/>
  <c r="J92" i="17"/>
  <c r="J93" i="17"/>
  <c r="J60" i="17"/>
  <c r="J86" i="16"/>
  <c r="J60" i="16"/>
  <c r="BK85" i="16"/>
  <c r="J85" i="16"/>
  <c r="J96" i="10"/>
  <c r="J30" i="10"/>
  <c r="J30" i="11"/>
  <c r="J59" i="11"/>
  <c r="BK85" i="13"/>
  <c r="J85" i="13"/>
  <c r="J86" i="13"/>
  <c r="J60" i="13"/>
  <c r="J121" i="9"/>
  <c r="J97" i="9"/>
  <c r="BK120" i="9"/>
  <c r="J120" i="9"/>
  <c r="J130" i="18"/>
  <c r="J64" i="18"/>
  <c r="BK87" i="18"/>
  <c r="J87" i="18"/>
  <c r="J30" i="4"/>
  <c r="J96" i="4"/>
  <c r="BK127" i="7"/>
  <c r="J127" i="7"/>
  <c r="J128" i="7"/>
  <c r="J97" i="7"/>
  <c r="J96" i="3"/>
  <c r="J30" i="3"/>
  <c r="J86" i="14"/>
  <c r="J60" i="14"/>
  <c r="BK85" i="14"/>
  <c r="J85" i="14"/>
  <c r="J59" i="15"/>
  <c r="J30" i="15"/>
  <c r="J96" i="6"/>
  <c r="J30" i="6"/>
  <c r="J30" i="12"/>
  <c r="J59" i="12"/>
  <c r="J96" i="5"/>
  <c r="J30" i="5"/>
  <c r="J96" i="2"/>
  <c r="J30" i="2"/>
  <c r="W30" i="1"/>
  <c r="AW94" i="1"/>
  <c r="AK30" i="1"/>
  <c r="J30" i="19"/>
  <c r="J59" i="19"/>
  <c r="J96" i="8"/>
  <c r="J30" i="8"/>
  <c r="J59" i="20"/>
  <c r="J30" i="20"/>
  <c r="AG113" i="1"/>
  <c r="AN113" i="1"/>
  <c r="J39" i="20"/>
  <c r="J39" i="2"/>
  <c r="AG95" i="1"/>
  <c r="AG108" i="1"/>
  <c r="AN108" i="1"/>
  <c r="J39" i="15"/>
  <c r="AG97" i="1"/>
  <c r="AN97" i="1"/>
  <c r="J39" i="4"/>
  <c r="J30" i="14"/>
  <c r="J59" i="14"/>
  <c r="AG103" i="1"/>
  <c r="AN103" i="1"/>
  <c r="J39" i="10"/>
  <c r="J39" i="5"/>
  <c r="AG98" i="1"/>
  <c r="AN98" i="1"/>
  <c r="J39" i="3"/>
  <c r="AG96" i="1"/>
  <c r="AN96" i="1"/>
  <c r="J30" i="9"/>
  <c r="J96" i="9"/>
  <c r="J30" i="16"/>
  <c r="J59" i="16"/>
  <c r="J30" i="18"/>
  <c r="J59" i="18"/>
  <c r="AG112" i="1"/>
  <c r="AN112" i="1"/>
  <c r="J39" i="19"/>
  <c r="AG105" i="1"/>
  <c r="AN105" i="1"/>
  <c r="J39" i="12"/>
  <c r="AG101" i="1"/>
  <c r="AN101" i="1"/>
  <c r="J39" i="8"/>
  <c r="AG104" i="1"/>
  <c r="AN104" i="1"/>
  <c r="J39" i="11"/>
  <c r="J39" i="6"/>
  <c r="AG99" i="1"/>
  <c r="AN99" i="1"/>
  <c r="J96" i="7"/>
  <c r="J30" i="7"/>
  <c r="J30" i="13"/>
  <c r="J59" i="13"/>
  <c r="J30" i="17"/>
  <c r="J59" i="17"/>
  <c r="AG110" i="1"/>
  <c r="AN110" i="1"/>
  <c r="J39" i="17"/>
  <c r="AG111" i="1"/>
  <c r="AN111" i="1"/>
  <c r="J39" i="18"/>
  <c r="AN95" i="1"/>
  <c r="I152" i="21"/>
  <c r="AG109" i="1"/>
  <c r="AN109" i="1"/>
  <c r="J39" i="16"/>
  <c r="AG106" i="1"/>
  <c r="AN106" i="1"/>
  <c r="J39" i="13"/>
  <c r="AG100" i="1"/>
  <c r="AN100" i="1"/>
  <c r="J39" i="7"/>
  <c r="AG102" i="1"/>
  <c r="AN102" i="1"/>
  <c r="J39" i="9"/>
  <c r="AG107" i="1"/>
  <c r="AN107" i="1"/>
  <c r="J39" i="14"/>
  <c r="J152" i="21"/>
  <c r="BE152" i="21"/>
  <c r="BK152" i="21"/>
  <c r="BK151" i="21"/>
  <c r="J151" i="21"/>
  <c r="J67" i="21"/>
  <c r="BK94" i="21"/>
  <c r="J33" i="21"/>
  <c r="AV114" i="1"/>
  <c r="AT114" i="1"/>
  <c r="F33" i="21"/>
  <c r="AZ114" i="1"/>
  <c r="AZ94" i="1"/>
  <c r="W29" i="1"/>
  <c r="AV94" i="1"/>
  <c r="J94" i="21"/>
  <c r="J62" i="21"/>
  <c r="BK89" i="21"/>
  <c r="J89" i="21"/>
  <c r="J30" i="21"/>
  <c r="J59" i="21"/>
  <c r="AK29" i="1"/>
  <c r="AT94" i="1"/>
  <c r="AG114" i="1"/>
  <c r="J39" i="21"/>
  <c r="AN114" i="1"/>
  <c r="AG94" i="1"/>
  <c r="AK26" i="1"/>
  <c r="AK35" i="1"/>
  <c r="AN94" i="1"/>
</calcChain>
</file>

<file path=xl/sharedStrings.xml><?xml version="1.0" encoding="utf-8"?>
<sst xmlns="http://schemas.openxmlformats.org/spreadsheetml/2006/main" count="19722" uniqueCount="2564">
  <si>
    <t>Export Komplet</t>
  </si>
  <si>
    <t/>
  </si>
  <si>
    <t>2.0</t>
  </si>
  <si>
    <t>False</t>
  </si>
  <si>
    <t>{2f6084c9-3c43-406f-ac0f-56bb5736ac2f}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</si>
  <si>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</si>
  <si>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</si>
  <si>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</si>
  <si>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</si>
  <si>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</si>
  <si>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</si>
  <si>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</si>
  <si>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</si>
  <si>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03-2023-I(1)</t>
  </si>
  <si>
    <t>Měnit lze pouze buňky se žlutým podbarvením!
1) v Rekapitulaci stavby vyplňte údaje o Uchazeči (přenesou se do ostatních sestav i v jiných listech)
2) na jednotlivých listech vyplňte v sestavě Soupis prací ceny u položek</t>
  </si>
  <si>
    <t>Stavba:</t>
  </si>
  <si>
    <t>Obnova ulice Tyršova, Dobrovice CELKEM I. etapa a II. etapa</t>
  </si>
  <si>
    <t>KSO:</t>
  </si>
  <si>
    <t>822</t>
  </si>
  <si>
    <t>CC-CZ:</t>
  </si>
  <si>
    <t>2</t>
  </si>
  <si>
    <t>Místo:</t>
  </si>
  <si>
    <t>Dobrovice</t>
  </si>
  <si>
    <t>Datum:</t>
  </si>
  <si>
    <t>CZ-CPV:</t>
  </si>
  <si>
    <t>45000000-7</t>
  </si>
  <si>
    <t>CZ-CPA:</t>
  </si>
  <si>
    <t>42</t>
  </si>
  <si>
    <t>Zadavatel:</t>
  </si>
  <si>
    <t>IČ:</t>
  </si>
  <si>
    <t>463 56 983</t>
  </si>
  <si>
    <t>Město Dobrovice, Palckého nám. 28, 294 41</t>
  </si>
  <si>
    <t>DIČ:</t>
  </si>
  <si>
    <t>Zhotovitel:</t>
  </si>
  <si>
    <t>Projektant:</t>
  </si>
  <si>
    <t>625 49 201</t>
  </si>
  <si>
    <t>Ing. arch. Martin Jirovský Ph.D., MBA</t>
  </si>
  <si>
    <t>True</t>
  </si>
  <si>
    <t>Zpracovatel:</t>
  </si>
  <si>
    <t>043 26 083</t>
  </si>
  <si>
    <t>ROAD M.A.A.T. s.r.o., Petra Stejskalová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</si>
  <si>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</si>
  <si>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</si>
  <si>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</si>
  <si>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</si>
  <si>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</si>
  <si>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</si>
  <si>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</si>
  <si>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</si>
  <si>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</si>
  <si>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</si>
  <si>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</si>
  <si>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</si>
  <si>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</si>
  <si>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</si>
  <si>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</si>
  <si>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</si>
  <si>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</si>
  <si>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</si>
  <si>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</si>
  <si>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</si>
  <si>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</si>
  <si>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</si>
  <si>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</si>
  <si>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</si>
  <si>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</si>
  <si>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</si>
  <si>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</si>
  <si>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</si>
  <si>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</si>
  <si>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</si>
  <si>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</si>
  <si>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</si>
  <si>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</si>
  <si>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</si>
  <si>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</si>
  <si>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</si>
  <si>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</si>
  <si>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</si>
  <si>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</si>
  <si>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</si>
  <si>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</si>
  <si>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</si>
  <si>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</si>
  <si>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</si>
  <si>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102.I</t>
  </si>
  <si>
    <t>Stavební úprava chodníku I. etapa</t>
  </si>
  <si>
    <t>STA</t>
  </si>
  <si>
    <t>1</t>
  </si>
  <si>
    <t>{cc276654-1652-415c-a615-0d21d30d5609}</t>
  </si>
  <si>
    <t>SO 103.I</t>
  </si>
  <si>
    <t>Parkovací stání I. etapa</t>
  </si>
  <si>
    <t>{bfe29e3c-57e5-4098-ab82-cc1274d0782d}</t>
  </si>
  <si>
    <t>SO 104.I</t>
  </si>
  <si>
    <t>Místní komunikace MO2 10/5,5/30 I. etapa</t>
  </si>
  <si>
    <t>{1b830e9f-71af-446e-b13c-407f6b510106}</t>
  </si>
  <si>
    <t>SO 105.I</t>
  </si>
  <si>
    <t>Místa pro předcházení I. etapa</t>
  </si>
  <si>
    <t>{dd0afa9b-74a7-4712-a978-e874d0c69dd0}</t>
  </si>
  <si>
    <t>SO 106.I</t>
  </si>
  <si>
    <t>Stavební úprava sjezdu I. etapa</t>
  </si>
  <si>
    <t>{ab1c45e9-86e4-4eca-92f0-55c848b84f27}</t>
  </si>
  <si>
    <t>SO 303.I</t>
  </si>
  <si>
    <t>Odvodnění komunikace I. etapa</t>
  </si>
  <si>
    <t>{152df6ac-54e3-44c2-bd0b-041e26aa3f10}</t>
  </si>
  <si>
    <t>SO 401.I</t>
  </si>
  <si>
    <t>Veřejné osvětlení + rozhlas I. etapa</t>
  </si>
  <si>
    <t>{9ae6f7f8-9def-4374-a51f-5fe853991d7a}</t>
  </si>
  <si>
    <t>SO 404.I</t>
  </si>
  <si>
    <t>Chráničky pro optickou síť I. etapa</t>
  </si>
  <si>
    <t>{92f914a2-3b32-4116-9db5-a4caf52feeaf}</t>
  </si>
  <si>
    <t>SO 801.I</t>
  </si>
  <si>
    <t>Sadové úpravy I. etapa</t>
  </si>
  <si>
    <t>{f9cf90f2-8de5-49f7-a07f-596362b4a952}</t>
  </si>
  <si>
    <t>SO 101.II</t>
  </si>
  <si>
    <t>Nový chodník II. etapa</t>
  </si>
  <si>
    <t>{45e75e15-a362-4eda-b1cb-d5b3cafbed49}</t>
  </si>
  <si>
    <t>{510f429f-d6fd-4583-b3d7-4b110381f70f}</t>
  </si>
  <si>
    <t>SO 102.II</t>
  </si>
  <si>
    <t>Stavební úprava chodníku II. etapa</t>
  </si>
  <si>
    <t>{035aecca-34b2-4a7a-94dc-6ed46e1f83d9}</t>
  </si>
  <si>
    <t>SO 103.II</t>
  </si>
  <si>
    <t>Parkovací stání II. etapa</t>
  </si>
  <si>
    <t>{c2baf2fe-46cd-4a8e-97ff-3884a1d2c951}</t>
  </si>
  <si>
    <t>SO 104.II</t>
  </si>
  <si>
    <t>Místní komunikace MO2 10/5,5/30 II. etapa</t>
  </si>
  <si>
    <t>{1ebd3f95-bf94-4567-8fc8-59510707157b}</t>
  </si>
  <si>
    <t>SO 105.II</t>
  </si>
  <si>
    <t>Místa pro přecházení II. etapa</t>
  </si>
  <si>
    <t>{4c49452b-e569-46a1-ab5f-e0272fb1abc7}</t>
  </si>
  <si>
    <t>SO 106.II</t>
  </si>
  <si>
    <t>Sjezdy II. etapa</t>
  </si>
  <si>
    <t>{18b6edab-32d9-4a54-9e21-46beceb24b26}</t>
  </si>
  <si>
    <t>SO 303.II</t>
  </si>
  <si>
    <t>Odvodnění komunikace II. etapa</t>
  </si>
  <si>
    <t>{3790c515-1222-49cf-9f19-31559acdabb8}</t>
  </si>
  <si>
    <t>SO 401.II</t>
  </si>
  <si>
    <t>Veřejné osvětlení + rozhlas II. etapa</t>
  </si>
  <si>
    <t>{20611611-a780-405c-af19-386cf580a160}</t>
  </si>
  <si>
    <t>SO 404.II</t>
  </si>
  <si>
    <t>Chráničky pro optickou síť II. etapa</t>
  </si>
  <si>
    <t>{ec79450b-7e2d-4a7c-b6fd-08fbf052c77f}</t>
  </si>
  <si>
    <t>SO 801.II</t>
  </si>
  <si>
    <t>Sadové úpravy II. etapa</t>
  </si>
  <si>
    <t>{98907dde-1b51-4abe-9604-481ca3ec98a1}</t>
  </si>
  <si>
    <t>VON I.+II.</t>
  </si>
  <si>
    <t>Všeobecné a obecné náklady I. etapa + II. etapa</t>
  </si>
  <si>
    <t>VON</t>
  </si>
  <si>
    <t>{69684122-73ed-4827-98a7-5384e19fa83b}</t>
  </si>
  <si>
    <t>&gt;&gt;  skryté sloupce  &lt;&lt;</t>
  </si>
  <si>
    <t>KRYCÍ LIST SOUPISU PRACÍ</t>
  </si>
  <si>
    <t>Obnova ulice Tyršova, Dobrovice - I. etapa</t>
  </si>
  <si>
    <t>Objekt:</t>
  </si>
  <si>
    <t>SO 102 - Stavební úprava chodníku I. etapa</t>
  </si>
  <si>
    <t>002 37 663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</si>
  <si>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</si>
  <si>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</si>
  <si>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</si>
  <si>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</si>
  <si>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</si>
  <si>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</si>
  <si>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</si>
  <si>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</si>
  <si>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</si>
  <si>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</si>
  <si>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</si>
  <si>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</si>
  <si>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</si>
  <si>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</si>
  <si>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</si>
  <si>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</si>
  <si>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</si>
  <si>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</si>
  <si>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</si>
  <si>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</si>
  <si>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</si>
  <si>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</si>
  <si>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</si>
  <si>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</si>
  <si>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</si>
  <si>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</si>
  <si>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</si>
  <si>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</si>
  <si>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</si>
  <si>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</si>
  <si>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</si>
  <si>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</si>
  <si>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</si>
  <si>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</si>
  <si>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</si>
  <si>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01</t>
  </si>
  <si>
    <t>4</t>
  </si>
  <si>
    <t>-109963430</t>
  </si>
  <si>
    <t>Online PSC</t>
  </si>
  <si>
    <t>https://podminky.urs.cz/item/CS_URS_2023_01/113106123</t>
  </si>
  <si>
    <t>VV</t>
  </si>
  <si>
    <t>"stávající komunikace - předláždění"7</t>
  </si>
  <si>
    <t>113106142</t>
  </si>
  <si>
    <t>Rozebrání dlažeb z betonových nebo kamenných dlaždic komunikací pro pěší strojně pl přes 50 m2</t>
  </si>
  <si>
    <t>1728411333</t>
  </si>
  <si>
    <t>https://podminky.urs.cz/item/CS_URS_2023_01/113106142</t>
  </si>
  <si>
    <t>"stávající komunikace"678,2</t>
  </si>
  <si>
    <t>3</t>
  </si>
  <si>
    <t>113107223</t>
  </si>
  <si>
    <t>Odstranění podkladu z kameniva drceného tl přes 200 do 300 mm strojně pl přes 200 m2</t>
  </si>
  <si>
    <t>-81446469</t>
  </si>
  <si>
    <t>https://podminky.urs.cz/item/CS_URS_2023_01/113107223</t>
  </si>
  <si>
    <t>"stávající komunikace"678,2+7</t>
  </si>
  <si>
    <t>113202111</t>
  </si>
  <si>
    <t>Vytrhání obrub krajníků obrubníků stojatých</t>
  </si>
  <si>
    <t>m</t>
  </si>
  <si>
    <t>821975446</t>
  </si>
  <si>
    <t>https://podminky.urs.cz/item/CS_URS_2023_01/113202111</t>
  </si>
  <si>
    <t>"délka stávajícho obrubníku" 462</t>
  </si>
  <si>
    <t>5</t>
  </si>
  <si>
    <t>122151104</t>
  </si>
  <si>
    <t>Odkopávky a prokopávky nezapažené v hornině třídy těžitelnosti I skupiny 1 a 2 objem do 500 m3 strojně</t>
  </si>
  <si>
    <t>m3</t>
  </si>
  <si>
    <t>-215805337</t>
  </si>
  <si>
    <t>https://podminky.urs.cz/item/CS_URS_2023_01/122151104</t>
  </si>
  <si>
    <t>"plocha pláně*hloubka - sanace"688,2*0,3</t>
  </si>
  <si>
    <t>6</t>
  </si>
  <si>
    <t>129001101</t>
  </si>
  <si>
    <t>Příplatek za ztížení odkopávky nebo prokopávky v blízkosti inženýrských sítí</t>
  </si>
  <si>
    <t>-448219530</t>
  </si>
  <si>
    <t>https://podminky.urs.cz/item/CS_URS_2023_01/129001101</t>
  </si>
  <si>
    <t>"délka*šířka*hloubka vedení sděl. sítí"16*1*0,5</t>
  </si>
  <si>
    <t>"délka*šířka*hloubka vedení VN,NN"195*1*0,5</t>
  </si>
  <si>
    <t>"délka*šířka*hloubka vedení plynovod"206*1*0,5</t>
  </si>
  <si>
    <t>"délka*šířka*hloubka vedení VO"200*1*0,5</t>
  </si>
  <si>
    <t>Součet</t>
  </si>
  <si>
    <t>7</t>
  </si>
  <si>
    <t>162751117</t>
  </si>
  <si>
    <t>Vodorovné přemístění přes 9 000 do 10000 m výkopku/sypaniny z horniny třídy těžitelnosti I skupiny 1 až 3</t>
  </si>
  <si>
    <t>-1545245756</t>
  </si>
  <si>
    <t>https://podminky.urs.cz/item/CS_URS_2023_01/162751117</t>
  </si>
  <si>
    <t>P</t>
  </si>
  <si>
    <t>Poznámka k položce:_x000D_
skládka Michalovice (cca14 km)</t>
  </si>
  <si>
    <t>"výkop"206,46</t>
  </si>
  <si>
    <t>8</t>
  </si>
  <si>
    <t>162751119</t>
  </si>
  <si>
    <t>Příplatek k vodorovnému přemístění výkopku/sypaniny z horniny třídy těžitelnosti I skupiny 1 až 3 ZKD 1000 m přes 10000 m</t>
  </si>
  <si>
    <t>-1748054189</t>
  </si>
  <si>
    <t>https://podminky.urs.cz/item/CS_URS_2023_01/162751119</t>
  </si>
  <si>
    <t>206,46*4 "Přepočtené koeficientem množství</t>
  </si>
  <si>
    <t>9</t>
  </si>
  <si>
    <t>171201221</t>
  </si>
  <si>
    <t>Poplatek za uložení na skládce (skládkovné) zeminy a kamení kód odpadu 17 05 04</t>
  </si>
  <si>
    <t>t</t>
  </si>
  <si>
    <t>-1466337541</t>
  </si>
  <si>
    <t>https://podminky.urs.cz/item/CS_URS_2023_01/171201221</t>
  </si>
  <si>
    <t>206,46*2 "Přepočtené koeficientem množství</t>
  </si>
  <si>
    <t>10</t>
  </si>
  <si>
    <t>171251201</t>
  </si>
  <si>
    <t>Uložení sypaniny na skládky nebo meziskládky</t>
  </si>
  <si>
    <t>351861140</t>
  </si>
  <si>
    <t>https://podminky.urs.cz/item/CS_URS_2023_01/171251201</t>
  </si>
  <si>
    <t>11</t>
  </si>
  <si>
    <t>181152302</t>
  </si>
  <si>
    <t>Úprava pláně pro silnice a dálnice v zářezech se zhutněním</t>
  </si>
  <si>
    <t>471239193</t>
  </si>
  <si>
    <t>Poznámka k položce:_x000D_
Edef2 ≧ 30 MPa</t>
  </si>
  <si>
    <t>"plocha pláně sanace"688,2</t>
  </si>
  <si>
    <t>Komunikace pozemní</t>
  </si>
  <si>
    <t>12</t>
  </si>
  <si>
    <t>561041111</t>
  </si>
  <si>
    <t>Zřízení podkladu ze zeminy upravené vápnem, cementem, směsnými pojivy tl přes 250 do 300 mm pl do 1000 m2</t>
  </si>
  <si>
    <t>1059575795</t>
  </si>
  <si>
    <t>https://podminky.urs.cz/item/CS_URS_2023_01/561041111</t>
  </si>
  <si>
    <t>"plocha pláně sanace" 688,20</t>
  </si>
  <si>
    <t>13</t>
  </si>
  <si>
    <t>M</t>
  </si>
  <si>
    <t>58530170</t>
  </si>
  <si>
    <t>vápno nehašené CL 90-Q pro úpravu zemin standardní</t>
  </si>
  <si>
    <t>218848397</t>
  </si>
  <si>
    <t>"4%/1m2*výška*obj. hmotnost" 688,20*0,3*2000/1000*0,04</t>
  </si>
  <si>
    <t>14</t>
  </si>
  <si>
    <t>564871111</t>
  </si>
  <si>
    <t>Podklad ze štěrkodrtě ŠD plochy přes 100 m2 tl 250 mm</t>
  </si>
  <si>
    <t>1290494828</t>
  </si>
  <si>
    <t>https://podminky.urs.cz/item/CS_URS_2023_01/564871111</t>
  </si>
  <si>
    <t>Poznámka k položce:_x000D_
štěrkodrť tř. A 0-63; Edef2 ≧ 70 MPa</t>
  </si>
  <si>
    <t>596211113</t>
  </si>
  <si>
    <t>Kladení zámkové dlažby komunikací pro pěší ručně tl 60 mm skupiny A pl přes 300 m2</t>
  </si>
  <si>
    <t>-726072016</t>
  </si>
  <si>
    <t>https://podminky.urs.cz/item/CS_URS_2023_01/596211113</t>
  </si>
  <si>
    <t>"plocha chodníku"640,46+7+40,76</t>
  </si>
  <si>
    <t>16</t>
  </si>
  <si>
    <t>59245018</t>
  </si>
  <si>
    <t>dlažba tvar obdélník betonová 200x100x60mm přírodní</t>
  </si>
  <si>
    <t>-1371314809</t>
  </si>
  <si>
    <t>"plocha chodníku"62,11+18,7+25+17,68+25,1+18,3+69,16+52,47+18,48+41,56+42,16+31,53+52,27+29+29,64+103,55+3,75</t>
  </si>
  <si>
    <t>640,46*1,01 "Přepočtené koeficientem množství</t>
  </si>
  <si>
    <t>17</t>
  </si>
  <si>
    <t>59245006</t>
  </si>
  <si>
    <t>dlažba tvar obdélník betonová pro nevidomé 200x100x60mm barevná</t>
  </si>
  <si>
    <t>-743425040</t>
  </si>
  <si>
    <t>"plocha chodníku"4,95+1,53+0,75+1,22+0,84+1,57+1,36+0,7+1,11+0,62+1,46+0,68+1,46+0,68+1+1,2+2,63+0,88+1,6+5,87+1,66+0,83+1,39+1,96+1,27+1,54</t>
  </si>
  <si>
    <t>40,76*1,01 "Přepočtené koeficientem množství</t>
  </si>
  <si>
    <t>18</t>
  </si>
  <si>
    <t>596211114</t>
  </si>
  <si>
    <t>Příplatek za kombinaci dvou barev u kladení betonových dlažeb komunikací pro pěší ručně tl 60 mm skupiny A</t>
  </si>
  <si>
    <t>1137269267</t>
  </si>
  <si>
    <t>https://podminky.urs.cz/item/CS_URS_2023_01/596211114</t>
  </si>
  <si>
    <t>Ostatní konstrukce a práce, bourání</t>
  </si>
  <si>
    <t>19</t>
  </si>
  <si>
    <t>916131213</t>
  </si>
  <si>
    <t>Osazení silničního obrubníku betonového stojatého s boční opěrou do lože z betonu prostého</t>
  </si>
  <si>
    <t>1757508187</t>
  </si>
  <si>
    <t>https://podminky.urs.cz/item/CS_URS_2023_01/916131213</t>
  </si>
  <si>
    <t>"délka obrubníku" 40,54+1,44+10,42+3</t>
  </si>
  <si>
    <t>20</t>
  </si>
  <si>
    <t>59217031</t>
  </si>
  <si>
    <t>obrubník betonový silniční 1000x150x250mm</t>
  </si>
  <si>
    <t>-1124432159</t>
  </si>
  <si>
    <t>"délka obrubníku"1,06+19,74+19,74</t>
  </si>
  <si>
    <t>40,54*1,02 "Přepočtené koeficientem množství</t>
  </si>
  <si>
    <t>59217026</t>
  </si>
  <si>
    <t>obrubník betonový silniční 500x150x250mm</t>
  </si>
  <si>
    <t>1221748843</t>
  </si>
  <si>
    <t>"délka obrubníku R2,5" 1,44</t>
  </si>
  <si>
    <t>1,44*1,02 "Přepočtené koeficientem množství</t>
  </si>
  <si>
    <t>22</t>
  </si>
  <si>
    <t>59217029</t>
  </si>
  <si>
    <t>obrubník betonový silniční nájezdový 1000x150x150mm</t>
  </si>
  <si>
    <t>-17260065</t>
  </si>
  <si>
    <t>"délka obrubníku"0,94+1,35+1,08+1,73+0,94+0,95+1,16+1,31+0,96</t>
  </si>
  <si>
    <t>10,42*1,02 "Přepočtené koeficientem množství</t>
  </si>
  <si>
    <t>23</t>
  </si>
  <si>
    <t>59217030</t>
  </si>
  <si>
    <t>obrubník betonový silniční přechodový 1000x150x150-250mm</t>
  </si>
  <si>
    <t>1246676176</t>
  </si>
  <si>
    <t>"délka obrubníku"3</t>
  </si>
  <si>
    <t>3*1,02 "Přepočtené koeficientem množství</t>
  </si>
  <si>
    <t>24</t>
  </si>
  <si>
    <t>916231213</t>
  </si>
  <si>
    <t>Osazení chodníkového obrubníku betonového stojatého s boční opěrou do lože z betonu prostého</t>
  </si>
  <si>
    <t>1994260672</t>
  </si>
  <si>
    <t>https://podminky.urs.cz/item/CS_URS_2023_01/916231213</t>
  </si>
  <si>
    <t>"délka obrubníku" 178,9+6,37</t>
  </si>
  <si>
    <t>25</t>
  </si>
  <si>
    <t>59217016</t>
  </si>
  <si>
    <t>obrubník betonový chodníkový 1000x80x250mm</t>
  </si>
  <si>
    <t>1876958944</t>
  </si>
  <si>
    <t>"délka obrubníku" 0,94+1,1+5,39+13,72+5,32+1+18,03+13,38+1+0,59+1+0,89+18,82+13,83+1+1,67+1+0,32+14,5+5,36+9,57+1+0,8+1+0,67+19,1+7,8+0,19+15,11+3+1,8</t>
  </si>
  <si>
    <t>178,9*1,02 "Přepočtené koeficientem množství</t>
  </si>
  <si>
    <t>26</t>
  </si>
  <si>
    <t>59217036</t>
  </si>
  <si>
    <t>obrubník betonový parkový přírodní 500x80x250mm</t>
  </si>
  <si>
    <t>-1421431591</t>
  </si>
  <si>
    <t>"délka obrubníku R0,5" 0,79+0,78</t>
  </si>
  <si>
    <t>"délka obrubníku R1" 1,55+1,68+1,57</t>
  </si>
  <si>
    <t>6,37*1,02 "Přepočtené koeficientem množství</t>
  </si>
  <si>
    <t>27</t>
  </si>
  <si>
    <t>979054451</t>
  </si>
  <si>
    <t>Očištění vybouraných zámkových dlaždic s původním spárováním z kameniva těženého</t>
  </si>
  <si>
    <t>-1525319071</t>
  </si>
  <si>
    <t>https://podminky.urs.cz/item/CS_URS_2023_01/979054451</t>
  </si>
  <si>
    <t>997</t>
  </si>
  <si>
    <t>Přesun sutě</t>
  </si>
  <si>
    <t>28</t>
  </si>
  <si>
    <t>997221571</t>
  </si>
  <si>
    <t>Vodorovná doprava vybouraných hmot do 1 km</t>
  </si>
  <si>
    <t>567454870</t>
  </si>
  <si>
    <t>https://podminky.urs.cz/item/CS_URS_2023_01/997221571</t>
  </si>
  <si>
    <t>Poznámka k položce:_x000D_
Investor určí uložení sutě.</t>
  </si>
  <si>
    <t>"odpad k recyklaci na deponii a zpět" (301,488+94,71)*2</t>
  </si>
  <si>
    <t>"dlažba na deponii" 176,332</t>
  </si>
  <si>
    <t>29</t>
  </si>
  <si>
    <t>997221612</t>
  </si>
  <si>
    <t>Nakládání vybouraných hmot na dopravní prostředky pro vodorovnou dopravu</t>
  </si>
  <si>
    <t>-1714067677</t>
  </si>
  <si>
    <t>https://podminky.urs.cz/item/CS_URS_2023_01/997221612</t>
  </si>
  <si>
    <t>"odpad k recyklaci na deponii a zpět" (301,488+94,71)</t>
  </si>
  <si>
    <t>998</t>
  </si>
  <si>
    <t>Přesun hmot</t>
  </si>
  <si>
    <t>30</t>
  </si>
  <si>
    <t>998223011</t>
  </si>
  <si>
    <t>Přesun hmot pro pozemní komunikace s krytem dlážděným</t>
  </si>
  <si>
    <t>1315107105</t>
  </si>
  <si>
    <t>https://podminky.urs.cz/item/CS_URS_2023_01/998223011</t>
  </si>
  <si>
    <t>PSV</t>
  </si>
  <si>
    <t>Práce a dodávky PSV</t>
  </si>
  <si>
    <t>711</t>
  </si>
  <si>
    <t>Izolace proti vodě, vlhkosti a plynům</t>
  </si>
  <si>
    <t>31</t>
  </si>
  <si>
    <t>711161212</t>
  </si>
  <si>
    <t>Izolace proti zemní vlhkosti nopovou fólií svislá, nopek v 8,0 mm, tl do 0,6 mm</t>
  </si>
  <si>
    <t>-1182414139</t>
  </si>
  <si>
    <t>https://podminky.urs.cz/item/CS_URS_2023_01/711161212</t>
  </si>
  <si>
    <t>"délka*výška u plotů" 350,49*0,4</t>
  </si>
  <si>
    <t>140,196*1,1 "Přepočtené koeficientem množství</t>
  </si>
  <si>
    <t>32</t>
  </si>
  <si>
    <t>998711101</t>
  </si>
  <si>
    <t>Přesun hmot tonážní pro izolace proti vodě, vlhkosti a plynům v objektech v do 6 m</t>
  </si>
  <si>
    <t>1443389983</t>
  </si>
  <si>
    <t>SO 103.I - Parkovací stání I. etapa</t>
  </si>
  <si>
    <t>113106222</t>
  </si>
  <si>
    <t>Rozebrání dlažeb vozovek z drobných kostek s ložem ze živice strojně pl přes 50 do 200 m2</t>
  </si>
  <si>
    <t>1331575892</t>
  </si>
  <si>
    <t>https://podminky.urs.cz/item/CS_URS_2023_01/113106222</t>
  </si>
  <si>
    <t>"stávající plocha komunikace" 73,5</t>
  </si>
  <si>
    <t>113107166</t>
  </si>
  <si>
    <t>Odstranění podkladu z kameniva drceného se štětem tl přes 250 do 450 mm strojně pl přes 50 do 200 m2</t>
  </si>
  <si>
    <t>-2137654184</t>
  </si>
  <si>
    <t>https://podminky.urs.cz/item/CS_URS_2023_01/113107166</t>
  </si>
  <si>
    <t>113107182</t>
  </si>
  <si>
    <t>Odstranění podkladu živičného tl přes 50 do 100 mm strojně pl přes 50 do 200 m2</t>
  </si>
  <si>
    <t>1466899315</t>
  </si>
  <si>
    <t>https://podminky.urs.cz/item/CS_URS_2023_01/113107182</t>
  </si>
  <si>
    <t>Poznámka k položce:_x000D_
škvára, podsyp asfaltu</t>
  </si>
  <si>
    <t>113154123</t>
  </si>
  <si>
    <t>Frézování živičného krytu tl 50 mm pruh š přes 0,5 do 1 m pl do 500 m2 bez překážek v trase</t>
  </si>
  <si>
    <t>-1839869184</t>
  </si>
  <si>
    <t>https://podminky.urs.cz/item/CS_URS_2023_01/113154123</t>
  </si>
  <si>
    <t>-187293637</t>
  </si>
  <si>
    <t>"délka*šířka*hloubka vedení sděl. sítí"40*1*0,5</t>
  </si>
  <si>
    <t>"délka*šířka*hloubka vedení VN,NN"20*1*0,5</t>
  </si>
  <si>
    <t>132351101</t>
  </si>
  <si>
    <t>Hloubení rýh nezapažených š do 800 mm v hornině třídy těžitelnosti II skupiny 4 objem do 20 m3 strojně</t>
  </si>
  <si>
    <t>-1650865720</t>
  </si>
  <si>
    <t>https://podminky.urs.cz/item/CS_URS_2023_01/132351101</t>
  </si>
  <si>
    <t>"délka obrubníku*šířka*hloubka" 53,32*0,35*0,2</t>
  </si>
  <si>
    <t>-1990163655</t>
  </si>
  <si>
    <t>"plocha pláně" 73,5*1,05</t>
  </si>
  <si>
    <t>567541111</t>
  </si>
  <si>
    <t>Recyklace podkladu za studena na místě - rozpojení a reprofilace tl přes 250 do 300 mm do 1000 m2</t>
  </si>
  <si>
    <t>921798181</t>
  </si>
  <si>
    <t>https://podminky.urs.cz/item/CS_URS_2023_01/567541111</t>
  </si>
  <si>
    <t>Poznámka k položce:_x000D_
I. fáze Recyklace za studena</t>
  </si>
  <si>
    <t>567532112</t>
  </si>
  <si>
    <t>Recyklace podkladu za studena na místě - promísení s pojivem, kamenivem tl přes 220 do 250 mm pl do 1000 m2</t>
  </si>
  <si>
    <t>-1899056449</t>
  </si>
  <si>
    <t>https://podminky.urs.cz/item/CS_URS_2023_01/567532112</t>
  </si>
  <si>
    <t>Poznámka k položce:_x000D_
II. fáze Recyklace za studena</t>
  </si>
  <si>
    <t>567533111</t>
  </si>
  <si>
    <t>Recyklace podkladu za studena na místě-promísení s cementem, zeolitem, minerály tl do 250 mm pl do 1000 m2</t>
  </si>
  <si>
    <t>-1572873123</t>
  </si>
  <si>
    <t>https://podminky.urs.cz/item/CS_URS_2023_01/567533111</t>
  </si>
  <si>
    <t>Poznámka k položce:_x000D_
III. fáze Recyklace za studena - finání; Edef2 ≧ 150 MPa</t>
  </si>
  <si>
    <t>58522110</t>
  </si>
  <si>
    <t>cement portlandský směsný CEM II 42,5MPa</t>
  </si>
  <si>
    <t>-1482556870</t>
  </si>
  <si>
    <t>77,2*25/1000</t>
  </si>
  <si>
    <t>24551310</t>
  </si>
  <si>
    <t>přísada do betonu na bázi zeolitů a minerálů</t>
  </si>
  <si>
    <t>kg</t>
  </si>
  <si>
    <t>-298257896</t>
  </si>
  <si>
    <t>77,2*0,25*1,6</t>
  </si>
  <si>
    <t>596211211</t>
  </si>
  <si>
    <t>Kladení zámkové dlažby komunikací pro pěší ručně tl 80 mm skupiny A pl přes 50 do 100 m2</t>
  </si>
  <si>
    <t>1838121069</t>
  </si>
  <si>
    <t>https://podminky.urs.cz/item/CS_URS_2023_01/596211211</t>
  </si>
  <si>
    <t>59245020</t>
  </si>
  <si>
    <t>dlažba tvar obdélník betonová 200x100x80mm přírodní</t>
  </si>
  <si>
    <t>657510733</t>
  </si>
  <si>
    <t>"plocha park.stání"36,93+36,52</t>
  </si>
  <si>
    <t>73,45*1,03 "Přepočtené koeficientem množství</t>
  </si>
  <si>
    <t>915211111</t>
  </si>
  <si>
    <t>Vodorovné dopravní značení dělící čáry souvislé š 125 mm bílý plast</t>
  </si>
  <si>
    <t>-257628588</t>
  </si>
  <si>
    <t>https://podminky.urs.cz/item/CS_URS_2023_01/915211111</t>
  </si>
  <si>
    <t>"V10a"2*4</t>
  </si>
  <si>
    <t>915611111</t>
  </si>
  <si>
    <t>Předznačení vodorovného liniového značení</t>
  </si>
  <si>
    <t>605339294</t>
  </si>
  <si>
    <t>https://podminky.urs.cz/item/CS_URS_2023_01/915611111</t>
  </si>
  <si>
    <t>690597575</t>
  </si>
  <si>
    <t>"délka obrubníku" 4+6,26+43,06</t>
  </si>
  <si>
    <t>-1282046098</t>
  </si>
  <si>
    <t>"délka obrubníku"1+1+1+1</t>
  </si>
  <si>
    <t>4*1,02 "Přepočtené koeficientem množství</t>
  </si>
  <si>
    <t>1935763706</t>
  </si>
  <si>
    <t>"délka obrubníku R1" 1,55+1,57+1,57+1,57</t>
  </si>
  <si>
    <t>6,26*1,02 "Přepočtené koeficientem množství</t>
  </si>
  <si>
    <t>1438742185</t>
  </si>
  <si>
    <t>"délka obrubníku"21,53+21,53</t>
  </si>
  <si>
    <t>43,06*1,02 "Přepočtené koeficientem množství</t>
  </si>
  <si>
    <t>938908411</t>
  </si>
  <si>
    <t>Čištění vozovek splachováním vodou</t>
  </si>
  <si>
    <t>1746538624</t>
  </si>
  <si>
    <t>https://podminky.urs.cz/item/CS_URS_2023_01/938908411</t>
  </si>
  <si>
    <t>938909311</t>
  </si>
  <si>
    <t>Čištění vozovek metením strojně podkladu nebo krytu betonového nebo živičného</t>
  </si>
  <si>
    <t>-2013715861</t>
  </si>
  <si>
    <t>https://podminky.urs.cz/item/CS_URS_2023_01/938909311</t>
  </si>
  <si>
    <t>203255913</t>
  </si>
  <si>
    <t>"odpady k recyklaci uložené na deponii a zpět"(45,57+16,17+8,453)*2</t>
  </si>
  <si>
    <t>"dlažba uložená na deponii "28,518</t>
  </si>
  <si>
    <t>-2077895912</t>
  </si>
  <si>
    <t>"odpady k recyklaci uložené na deponii a zpět"(45,57+16,17+8,453)</t>
  </si>
  <si>
    <t>1024131564</t>
  </si>
  <si>
    <t>SO 104 - Místní komunikace MO2 10/5,5/30 I. etapa</t>
  </si>
  <si>
    <t>113106522</t>
  </si>
  <si>
    <t>Rozebrání dlažeb vozovek z drobných kostek s ložem ze živice strojně pl přes 200 m2</t>
  </si>
  <si>
    <t>-430668292</t>
  </si>
  <si>
    <t>https://podminky.urs.cz/item/CS_URS_2023_01/113106522</t>
  </si>
  <si>
    <t>"stávající plocha komunikace" 1400,95</t>
  </si>
  <si>
    <t>"rýhy SO 301 " -162,8</t>
  </si>
  <si>
    <t>"rýhy SO 302" -359</t>
  </si>
  <si>
    <t>"rýhy SO 303" -242,84</t>
  </si>
  <si>
    <t>113107242</t>
  </si>
  <si>
    <t>Odstranění podkladu živičného tl přes 50 do 100 mm strojně pl přes 200 m2</t>
  </si>
  <si>
    <t>1449894023</t>
  </si>
  <si>
    <t>https://podminky.urs.cz/item/CS_URS_2023_01/113107242</t>
  </si>
  <si>
    <t>"rýhy SO 303" -254,9</t>
  </si>
  <si>
    <t>113154253</t>
  </si>
  <si>
    <t>Frézování živičného krytu tl 50 mm pruh š přes 0,5 do 1 m pl přes 500 do 1000 m2 s překážkami v trase</t>
  </si>
  <si>
    <t>712344261</t>
  </si>
  <si>
    <t>https://podminky.urs.cz/item/CS_URS_2023_01/113154253</t>
  </si>
  <si>
    <t>132351102</t>
  </si>
  <si>
    <t>Hloubení rýh nezapažených š do 800 mm v hornině třídy těžitelnosti II skupiny 4 objem do 50 m3 strojně</t>
  </si>
  <si>
    <t>1623011518</t>
  </si>
  <si>
    <t>https://podminky.urs.cz/item/CS_URS_2023_01/132351102</t>
  </si>
  <si>
    <t>"délka obrubníku*šířka*hloubka" 543,88*0,35*0,2</t>
  </si>
  <si>
    <t>2106488813</t>
  </si>
  <si>
    <t>"plocha pláně" 1400,95*1,10</t>
  </si>
  <si>
    <t>567541121</t>
  </si>
  <si>
    <t>Recyklace podkladu za studena na místě - rozpojení a reprofilace tl přes 250 do 300 mm pl přes 1000 do 3000 m2</t>
  </si>
  <si>
    <t>1378756263</t>
  </si>
  <si>
    <t>https://podminky.urs.cz/item/CS_URS_2023_01/567541121</t>
  </si>
  <si>
    <t>567532122</t>
  </si>
  <si>
    <t>Recyklace podkladu za studena na místě - promísení s pojivem, kamenivem tl přes 220 do 250 mm pl přes 1000 do 3000 m2</t>
  </si>
  <si>
    <t>-1565858579</t>
  </si>
  <si>
    <t>https://podminky.urs.cz/item/CS_URS_2023_01/567532122</t>
  </si>
  <si>
    <t>567533121</t>
  </si>
  <si>
    <t>Recyklace podkladu za studena na místě-promísení s cementem, zeolitem, minerály tl do 250 mm pl přes 1000 do 3000 m2</t>
  </si>
  <si>
    <t>62823455</t>
  </si>
  <si>
    <t>https://podminky.urs.cz/item/CS_URS_2023_01/567533121</t>
  </si>
  <si>
    <t>-1022165312</t>
  </si>
  <si>
    <t>1541,05*25/1000</t>
  </si>
  <si>
    <t>1827204927</t>
  </si>
  <si>
    <t>1541,05*0,25*1,6</t>
  </si>
  <si>
    <t>573111113</t>
  </si>
  <si>
    <t>Postřik živičný infiltrační s posypem z asfaltu množství 1,5 kg/m2</t>
  </si>
  <si>
    <t>1210044340</t>
  </si>
  <si>
    <t>https://podminky.urs.cz/item/CS_URS_2023_01/573111113</t>
  </si>
  <si>
    <t>"plocha komunikace" 360,91+546,29+13,28</t>
  </si>
  <si>
    <t>"plocha křižovatek minus vyvýšené křižovatky" 480,74-272</t>
  </si>
  <si>
    <t>577144111</t>
  </si>
  <si>
    <t>Asfaltový beton vrstva obrusná ACO 11 (ABS) tř. I tl 50 mm š do 3 m z nemodifikovaného asfaltu</t>
  </si>
  <si>
    <t>107863670</t>
  </si>
  <si>
    <t>https://podminky.urs.cz/item/CS_URS_2023_01/577144111</t>
  </si>
  <si>
    <t>Poznámka k položce:_x000D_
ACO 11S</t>
  </si>
  <si>
    <t>567123114.R</t>
  </si>
  <si>
    <t>Podklad ze směsi stmelené cementem SC C 5/6 (KSC II) tl 100 mm</t>
  </si>
  <si>
    <t>-416673938</t>
  </si>
  <si>
    <t>"vyvýšené křižovatky (Tyršova /Sládečkova;Tyršova /Sídliště prostřední ulice a Tyršova/Husova)"</t>
  </si>
  <si>
    <t>33+140+99</t>
  </si>
  <si>
    <t>-75650443</t>
  </si>
  <si>
    <t>59245005</t>
  </si>
  <si>
    <t>dlažba skladebná betonová 200x100mm tl 80mm barevná</t>
  </si>
  <si>
    <t>CS ÚRS 2024 02</t>
  </si>
  <si>
    <t>1543433663</t>
  </si>
  <si>
    <t>272*1,03 'Přepočtené koeficientem množství</t>
  </si>
  <si>
    <t>914111111</t>
  </si>
  <si>
    <t>Montáž svislé dopravní značky do velikosti 1 m2 objímkami na sloupek nebo konzolu</t>
  </si>
  <si>
    <t>kus</t>
  </si>
  <si>
    <t>47003620</t>
  </si>
  <si>
    <t>https://podminky.urs.cz/item/CS_URS_2023_01/914111111</t>
  </si>
  <si>
    <t>"nové" 4</t>
  </si>
  <si>
    <t>"přesun" 1</t>
  </si>
  <si>
    <t>40445626</t>
  </si>
  <si>
    <t>informativní značky provozní IP14-IP29, IP31 750x1000mm</t>
  </si>
  <si>
    <t>1608248443</t>
  </si>
  <si>
    <t>"IP25a-30"2</t>
  </si>
  <si>
    <t>"IP25b-30"2</t>
  </si>
  <si>
    <t>914511113</t>
  </si>
  <si>
    <t>Montáž sloupku dopravních značek délky do 3,5 m s betonovým základem a patkou D 70 mm</t>
  </si>
  <si>
    <t>629405599</t>
  </si>
  <si>
    <t>https://podminky.urs.cz/item/CS_URS_2023_01/914511113</t>
  </si>
  <si>
    <t>"značky"3</t>
  </si>
  <si>
    <t>40445230</t>
  </si>
  <si>
    <t>sloupek pro dopravní značku Zn D 70mm v 3,5m</t>
  </si>
  <si>
    <t>761589327</t>
  </si>
  <si>
    <t>40445241</t>
  </si>
  <si>
    <t>patka pro sloupek Al D 70mm</t>
  </si>
  <si>
    <t>174976997</t>
  </si>
  <si>
    <t>915121121</t>
  </si>
  <si>
    <t>Vodorovné dopravní značení vodící čáry přerušované š 250 mm základní bílá barva</t>
  </si>
  <si>
    <t>558518812</t>
  </si>
  <si>
    <t>https://podminky.urs.cz/item/CS_URS_2023_01/915121121</t>
  </si>
  <si>
    <t>"V2b" 24</t>
  </si>
  <si>
    <t>915231111</t>
  </si>
  <si>
    <t>Vodorovné dopravní značení přechody pro chodce, šipky, symboly bílý plast</t>
  </si>
  <si>
    <t>-1775487810</t>
  </si>
  <si>
    <t>https://podminky.urs.cz/item/CS_URS_2023_01/915231111</t>
  </si>
  <si>
    <t>"V17" 0,12*9</t>
  </si>
  <si>
    <t>1919433001</t>
  </si>
  <si>
    <t>915621111</t>
  </si>
  <si>
    <t>Předznačení vodorovného plošného značení</t>
  </si>
  <si>
    <t>-1999085186</t>
  </si>
  <si>
    <t>https://podminky.urs.cz/item/CS_URS_2023_01/915621111</t>
  </si>
  <si>
    <t>-792571374</t>
  </si>
  <si>
    <t>"délka obrubníku" 234,1+31,1+222,68+11+45</t>
  </si>
  <si>
    <t>-1518798816</t>
  </si>
  <si>
    <t>"délka obrubníku"1,06+0,25+3,01+7,07+1,38+11,38+6,09+1,67+11,45+8,22+0,2+9,55+1,98+6,64+17,20+5,79</t>
  </si>
  <si>
    <t>"délka obrubníku"20,01+18,53+11,73+5,58+6,58+11,8+12,06+32,58+15,67+2,18+1,04+1,18+2,22</t>
  </si>
  <si>
    <t>234,1*1,02 "Přepočtené koeficientem množství</t>
  </si>
  <si>
    <t>-118504621</t>
  </si>
  <si>
    <t>"délka obrubníku R2" 1,49+2,97+2,87</t>
  </si>
  <si>
    <t>"délka obrubníku R2,5" 2,44</t>
  </si>
  <si>
    <t>"délka obrubníku R4" 3,12+3,79+3,51+2,22</t>
  </si>
  <si>
    <t>"délka obrubníku R6" 4,69+4</t>
  </si>
  <si>
    <t>31,1*1,02 "Přepočtené koeficientem množství</t>
  </si>
  <si>
    <t>-322003857</t>
  </si>
  <si>
    <t>"délka obrubníku"10,06+6,72+5,74+5,5+1,45+7,66+5,5+5,12+5,5+7,55+5,51+5,81+5,29+5,22+5,64+5,5+7,06+5,5+5,5+5,79+1,71+7,84+3+5,5*2+8,11+5,5*2</t>
  </si>
  <si>
    <t>"délka obrubníku"3,31+5,65+6,63+6,81+13,66+7,36+7,6+8,37+3,01</t>
  </si>
  <si>
    <t>222,68*1,02 "Přepočtené koeficientem množství</t>
  </si>
  <si>
    <t>59217028</t>
  </si>
  <si>
    <t>obrubník betonový silniční nájezdový 500x150x150mm</t>
  </si>
  <si>
    <t>2001816176</t>
  </si>
  <si>
    <t>"délka obrubníku R2,5"2,44</t>
  </si>
  <si>
    <t>"délka obrubníku R4"1,68+1,63+1,56</t>
  </si>
  <si>
    <t>"délka obrubníku R6"1,85+1,84</t>
  </si>
  <si>
    <t>11*1,02 "Přepočtené koeficientem množství</t>
  </si>
  <si>
    <t>-909744798</t>
  </si>
  <si>
    <t>"délka obrubníku" 25+20</t>
  </si>
  <si>
    <t>45*1,02 "Přepočtené koeficientem množství</t>
  </si>
  <si>
    <t>849066837</t>
  </si>
  <si>
    <t>120831453</t>
  </si>
  <si>
    <t>33</t>
  </si>
  <si>
    <t>966006132</t>
  </si>
  <si>
    <t>Odstranění značek dopravních nebo orientačních se sloupky s betonovými patkami</t>
  </si>
  <si>
    <t>-1236934572</t>
  </si>
  <si>
    <t>https://podminky.urs.cz/item/CS_URS_2023_01/966006132</t>
  </si>
  <si>
    <t>Poznámka k položce:_x000D_
u přesunu uložení značky pro zpětnou montáž</t>
  </si>
  <si>
    <t>"P2"5</t>
  </si>
  <si>
    <t>"P4"4</t>
  </si>
  <si>
    <t>"přesun P4+E2b"1</t>
  </si>
  <si>
    <t>34</t>
  </si>
  <si>
    <t>-434772476</t>
  </si>
  <si>
    <t>"odpady k recyklaci uložené na deponii a zpět"(193,413+101,102)*2</t>
  </si>
  <si>
    <t>"dlažba uložená na deponii "341,11</t>
  </si>
  <si>
    <t>"odpady na skládku" 20,03+3,08+5,57</t>
  </si>
  <si>
    <t>35</t>
  </si>
  <si>
    <t>997221579</t>
  </si>
  <si>
    <t>Příplatek ZKD 1 km u vodorovné dopravy vybouraných hmot</t>
  </si>
  <si>
    <t>-1019021347</t>
  </si>
  <si>
    <t>https://podminky.urs.cz/item/CS_URS_2023_01/997221579</t>
  </si>
  <si>
    <t>Poznámka k položce:_x000D_
uložení skládka Michalovice (cca 14 km)</t>
  </si>
  <si>
    <t>28,68*13 "Přepočtené koeficientem množství</t>
  </si>
  <si>
    <t>36</t>
  </si>
  <si>
    <t>997013631</t>
  </si>
  <si>
    <t>Poplatek za uložení na skládce (skládkovné) stavebního odpadu směsného kód odpadu 17 09 04</t>
  </si>
  <si>
    <t>-573009871</t>
  </si>
  <si>
    <t>https://podminky.urs.cz/item/CS_URS_2023_01/997013631</t>
  </si>
  <si>
    <t>37</t>
  </si>
  <si>
    <t>663602773</t>
  </si>
  <si>
    <t>"odpady k recyklaci uložené na deponii a zpět"(193,413+101,102)</t>
  </si>
  <si>
    <t>38</t>
  </si>
  <si>
    <t>998225111</t>
  </si>
  <si>
    <t>Přesun hmot pro pozemní komunikace s krytem z kamene, monolitickým betonovým nebo živičným</t>
  </si>
  <si>
    <t>-1884770547</t>
  </si>
  <si>
    <t>https://podminky.urs.cz/item/CS_URS_2023_01/998225111</t>
  </si>
  <si>
    <t>SO 105.I - Místa pro předcházení I. etapa</t>
  </si>
  <si>
    <t>915321115</t>
  </si>
  <si>
    <t>Předformátované vodorovné dopravní značení vodící pás pro slabozraké</t>
  </si>
  <si>
    <t>CS ÚRS 2020 01</t>
  </si>
  <si>
    <t>504976900</t>
  </si>
  <si>
    <t>"délka vod. proužků" 5,5*4</t>
  </si>
  <si>
    <t>1692757154</t>
  </si>
  <si>
    <t>621883299</t>
  </si>
  <si>
    <t xml:space="preserve">"plocha" 5,5*0,6 </t>
  </si>
  <si>
    <t>998229111</t>
  </si>
  <si>
    <t>Přesun hmot ruční pro pozemní komunikace s krytem z kameniva, betonu,živice na vzdálenost do 50 m</t>
  </si>
  <si>
    <t>336650232</t>
  </si>
  <si>
    <t>SO 106.I - Stavební úprava sjezdu I. etapa</t>
  </si>
  <si>
    <t>-720573077</t>
  </si>
  <si>
    <t>"stávající komunikace"130,2</t>
  </si>
  <si>
    <t>113107163</t>
  </si>
  <si>
    <t>Odstranění podkladu z kameniva drceného tl přes 200 do 300 mm strojně pl přes 50 do 200 m2</t>
  </si>
  <si>
    <t>-223093734</t>
  </si>
  <si>
    <t>https://podminky.urs.cz/item/CS_URS_2023_01/113107163</t>
  </si>
  <si>
    <t>122151102</t>
  </si>
  <si>
    <t>Odkopávky a prokopávky nezapažené v hornině třídy těžitelnosti I skupiny 1 a 2 objem do 50 m3 strojně</t>
  </si>
  <si>
    <t>-491397498</t>
  </si>
  <si>
    <t>https://podminky.urs.cz/item/CS_URS_2023_01/122151102</t>
  </si>
  <si>
    <t>"plocha pláně sanace*hloubka" 130,2*0,3</t>
  </si>
  <si>
    <t>-1059368115</t>
  </si>
  <si>
    <t>"délka*šířka*hloubka vedení sděl. sítí"30*1*0,5</t>
  </si>
  <si>
    <t>"délka*šířka*hloubka vedení VN,NN"96*1*0,5</t>
  </si>
  <si>
    <t>"délka*šířka*hloubka vedení plynovod"23*1*0,5</t>
  </si>
  <si>
    <t>"délka*šířka*hloubka vedení VO"19*1*0,5</t>
  </si>
  <si>
    <t>853368931</t>
  </si>
  <si>
    <t>"výkop"39,06</t>
  </si>
  <si>
    <t>929085025</t>
  </si>
  <si>
    <t>39,06*4 "Přepočtené koeficientem množství</t>
  </si>
  <si>
    <t>-930873249</t>
  </si>
  <si>
    <t>39,06*2 "Přepočtené koeficientem množství</t>
  </si>
  <si>
    <t>151186157</t>
  </si>
  <si>
    <t>-1839011809</t>
  </si>
  <si>
    <t>"plocha pláně sanace" 130,2</t>
  </si>
  <si>
    <t>-2055914745</t>
  </si>
  <si>
    <t>-274347277</t>
  </si>
  <si>
    <t>"4%/1m2*výška*obj. hmotnost" 130,2*0,3*2000/1000*0,04</t>
  </si>
  <si>
    <t>390717365</t>
  </si>
  <si>
    <t>"plocha pláně" 130,2</t>
  </si>
  <si>
    <t>596211212</t>
  </si>
  <si>
    <t>Kladení zámkové dlažby komunikací pro pěší ručně tl 80 mm skupiny A pl přes 100 do 300 m2</t>
  </si>
  <si>
    <t>-1903050076</t>
  </si>
  <si>
    <t>https://podminky.urs.cz/item/CS_URS_2023_01/596211212</t>
  </si>
  <si>
    <t>"plocha sjezdu"103,8+26,4</t>
  </si>
  <si>
    <t>971684706</t>
  </si>
  <si>
    <t>"plocha sjezdu"14,13+12,46+11,86+15,74+16,4+4,53+5,82+4,57+5,4+6,16+6,72</t>
  </si>
  <si>
    <t>103,79*1,02 "Přepočtené koeficientem množství</t>
  </si>
  <si>
    <t>59245226</t>
  </si>
  <si>
    <t>dlažba tvar obdélník betonová pro nevidomé 200x100x80mm barevná</t>
  </si>
  <si>
    <t>1803455751</t>
  </si>
  <si>
    <t>"plocha sjezdu"1,47+1,25+1,22+1,54+1,65+2,68+3,03+3,08+3,32+3,42+3,76</t>
  </si>
  <si>
    <t>26,42*1,02 "Přepočtené koeficientem množství</t>
  </si>
  <si>
    <t>596211214</t>
  </si>
  <si>
    <t>Příplatek za kombinaci dvou barev u kladení betonových dlažeb komunikací pro pěší ručně tl 80 mm skupiny A</t>
  </si>
  <si>
    <t>-1478073564</t>
  </si>
  <si>
    <t>https://podminky.urs.cz/item/CS_URS_2023_01/596211214</t>
  </si>
  <si>
    <t>-417748372</t>
  </si>
  <si>
    <t>"délka obrubníku"7,39+30,26+34,42</t>
  </si>
  <si>
    <t>65736815</t>
  </si>
  <si>
    <t>"délka obrubníku"0,65+0,61+0,7+0,57+0,65+0,66+0,95+0,92+0,84+0,84</t>
  </si>
  <si>
    <t>7,39*1,02 "Přepočtené koeficientem množství</t>
  </si>
  <si>
    <t>1811790853</t>
  </si>
  <si>
    <t>"délka obrubníku R2" 2,95*6+3,14*4</t>
  </si>
  <si>
    <t>30,26*1,02 "Přepočtené koeficientem množství</t>
  </si>
  <si>
    <t>1295319985</t>
  </si>
  <si>
    <t>"délka obrubníku"3,13+3,05+3,84+4,11+2,87+3,29+2,82+3,38+3,62+4,36</t>
  </si>
  <si>
    <t>34,47*1,02 "Přepočtené koeficientem množství</t>
  </si>
  <si>
    <t>1665538477</t>
  </si>
  <si>
    <t>"odpad k recyklaci na deponii a zpět" 57,288*2</t>
  </si>
  <si>
    <t>"dlažba na deponii" 33,201</t>
  </si>
  <si>
    <t>-2007224399</t>
  </si>
  <si>
    <t>"odpad k recyklaci na deponii a zpět" 57,288</t>
  </si>
  <si>
    <t>-1524284247</t>
  </si>
  <si>
    <t>SO 303.I - Odvodnění komunikace I. etapa</t>
  </si>
  <si>
    <t xml:space="preserve">    4 - Vodorovné konstrukce</t>
  </si>
  <si>
    <t xml:space="preserve">    8 - Trubní vedení</t>
  </si>
  <si>
    <t xml:space="preserve">    721 - Zdravotechnika - vnitřní kanalizace</t>
  </si>
  <si>
    <t>VRN - Vedlejší rozpočtové náklady</t>
  </si>
  <si>
    <t xml:space="preserve">    VRN4 - Inženýrská činnost</t>
  </si>
  <si>
    <t>113106462</t>
  </si>
  <si>
    <t>Rozebrání dlažeb při překopech vozovek z drobných kostek s ložem ze živice strojně pl přes 15 m2</t>
  </si>
  <si>
    <t>678100386</t>
  </si>
  <si>
    <t>https://podminky.urs.cz/item/CS_URS_2023_01/113106462</t>
  </si>
  <si>
    <t>"vedení" (184,8+2)*1,3</t>
  </si>
  <si>
    <t>113107526</t>
  </si>
  <si>
    <t>Odstranění podkladu z kameniva drceného se štětem tl přes 250 do 450 mm při překopech strojně pl přes 15 m2</t>
  </si>
  <si>
    <t>-357926692</t>
  </si>
  <si>
    <t>https://podminky.urs.cz/item/CS_URS_2023_01/113107526</t>
  </si>
  <si>
    <t>113107541</t>
  </si>
  <si>
    <t>Odstranění podkladu živičných tl 50 mm při překopech strojně pl přes 15 m2</t>
  </si>
  <si>
    <t>-1824313815</t>
  </si>
  <si>
    <t>https://podminky.urs.cz/item/CS_URS_2023_01/113107541</t>
  </si>
  <si>
    <t>"vedení"(184,8+2)*1,3+(11,4+2)*0,9</t>
  </si>
  <si>
    <t>115101202</t>
  </si>
  <si>
    <t>Čerpání vody na dopravní výšku do 10 m průměrný přítok do 1000 l/min</t>
  </si>
  <si>
    <t>hod</t>
  </si>
  <si>
    <t>1467127758</t>
  </si>
  <si>
    <t>Poznámka k položce:_x000D_
odhad</t>
  </si>
  <si>
    <t>115101302</t>
  </si>
  <si>
    <t>Pohotovost čerpací soupravy pro dopravní výšku do 10 m přítok do 1000 l/min</t>
  </si>
  <si>
    <t>den</t>
  </si>
  <si>
    <t>-298577041</t>
  </si>
  <si>
    <t>689207564</t>
  </si>
  <si>
    <t xml:space="preserve">"křížení sítí délka*šířka*houbka"(28*1,3)*1*0,5 </t>
  </si>
  <si>
    <t>131151102</t>
  </si>
  <si>
    <t>Hloubení jam nezapažených v hornině třídy těžitelnosti I skupiny 1 a 2 objem do 50 m3 strojně</t>
  </si>
  <si>
    <t>1932606667</t>
  </si>
  <si>
    <t>https://podminky.urs.cz/item/CS_URS_2023_01/131151102</t>
  </si>
  <si>
    <t>"UV šířka*délka*výška*počet"(0,85*0,85*1,74*6)+(0,8*0,5*0,75*6)</t>
  </si>
  <si>
    <t>"šachty šířka*délka*výška*počet"1,6*1,6*(11,5+5*0,5)*0,8</t>
  </si>
  <si>
    <t>131251100</t>
  </si>
  <si>
    <t>Hloubení jam nezapažených v hornině třídy těžitelnosti I skupiny 3 objem do 20 m3 strojně</t>
  </si>
  <si>
    <t>-408362736</t>
  </si>
  <si>
    <t>https://podminky.urs.cz/item/CS_URS_2023_01/131251100</t>
  </si>
  <si>
    <t>"šachty šířka*délka*výška*počet"1,6*1,6*(11,5+5*0,5)*0,2</t>
  </si>
  <si>
    <t>132154104</t>
  </si>
  <si>
    <t>Hloubení rýh zapažených š do 800 mm v hornině třídy těžitelnosti I skupiny 1 a 2 objem přes 100 m3 strojně</t>
  </si>
  <si>
    <t>969953689</t>
  </si>
  <si>
    <t>https://podminky.urs.cz/item/CS_URS_2023_01/132154104</t>
  </si>
  <si>
    <t>"vedení přípojek UV délka*šířka*výška" (35+123,4)*0,6*1,8</t>
  </si>
  <si>
    <t>132154204</t>
  </si>
  <si>
    <t>Hloubení zapažených rýh š do 2000 mm v hornině třídy těžitelnosti I skupiny 1 a 2 objem do 500 m3</t>
  </si>
  <si>
    <t>270315584</t>
  </si>
  <si>
    <t>https://podminky.urs.cz/item/CS_URS_2023_01/132154204</t>
  </si>
  <si>
    <t>"vedení kanalizač. vedení  délka*průřez.plocha" (264,4+58)*1,3</t>
  </si>
  <si>
    <t>"vedení kanalizač. vedení  délka*průřez.plocha" 24,4*0,9</t>
  </si>
  <si>
    <t>132254202</t>
  </si>
  <si>
    <t>Hloubení zapažených rýh š do 2000 mm v hornině třídy těžitelnosti I skupiny 3 objem do 50 m3</t>
  </si>
  <si>
    <t>295054821</t>
  </si>
  <si>
    <t>https://podminky.urs.cz/item/CS_URS_2023_01/132254202</t>
  </si>
  <si>
    <t>"vedení kanalizač. vedení  délka*průřez.plocha" 16,2*1,3</t>
  </si>
  <si>
    <t>151811131</t>
  </si>
  <si>
    <t>Osazení pažicího boxu hl výkopu do 4 m š do 1,2 m</t>
  </si>
  <si>
    <t>-2110267260</t>
  </si>
  <si>
    <t>https://podminky.urs.cz/item/CS_URS_2023_01/151811131</t>
  </si>
  <si>
    <t>"vedení přípojek UV délka*výška" (35+123,4)*2*1,8</t>
  </si>
  <si>
    <t>"vedení kanalizač. vedení  plocha" (338+29+72)*2</t>
  </si>
  <si>
    <t>151811141</t>
  </si>
  <si>
    <t>Osazení pažicího boxu hl výkopu do 6 m š do 1,2 m</t>
  </si>
  <si>
    <t>826870815</t>
  </si>
  <si>
    <t>https://podminky.urs.cz/item/CS_URS_2023_01/151811141</t>
  </si>
  <si>
    <t>Vodorovné přemístění do 10000 m výkopku/sypaniny z horniny třídy těžitelnosti I, skupiny 1 až 3</t>
  </si>
  <si>
    <t>307415298</t>
  </si>
  <si>
    <t>"zemina výkopu"38,015+7,168+171,072+441,08+21,06</t>
  </si>
  <si>
    <t>Příplatek k vodorovnému přemístění výkopku/sypaniny z horniny třídy těžitelnosti I, skupiny 1 až 3 ZKD 1000 m přes 10000 m</t>
  </si>
  <si>
    <t>44511940</t>
  </si>
  <si>
    <t>Poznámka k položce:_x000D_
skládka Michalovice (14 km)</t>
  </si>
  <si>
    <t>678,395*4 "Přepočtené koeficientem množství</t>
  </si>
  <si>
    <t>-814095744</t>
  </si>
  <si>
    <t>678,395*2 "Přepočtené koeficientem množství</t>
  </si>
  <si>
    <t>174152101</t>
  </si>
  <si>
    <t>Zásyp jam, šachet a rýh do 30 m3 sypaninou se zhutněním při překopech inženýrských sítí</t>
  </si>
  <si>
    <t>-884918508</t>
  </si>
  <si>
    <t>"zemina výkopu vedení" 171,072+441,08+21,06</t>
  </si>
  <si>
    <t>"-podklady a obsypy"- (60,452+175,455)</t>
  </si>
  <si>
    <t>"-vedení"- ((3,14*0,25*0,25*184,8)+(3,14*0,15*0,15*11,4)+(3,14*0,075*0,75*158,2))</t>
  </si>
  <si>
    <t>Mezisoučet</t>
  </si>
  <si>
    <t>"zemina výkopu jam" 38,015+7,168</t>
  </si>
  <si>
    <t>"-podklad" -2,4</t>
  </si>
  <si>
    <t>"-UV šířka*délka*výška*počet"-(3,14*0,62*0,62*9,75*5)</t>
  </si>
  <si>
    <t>58344197</t>
  </si>
  <si>
    <t>štěrkodrť frakce 0/63</t>
  </si>
  <si>
    <t>-1760890110</t>
  </si>
  <si>
    <t>316,232*2 "Přepočtené koeficientem množství</t>
  </si>
  <si>
    <t>175151101</t>
  </si>
  <si>
    <t>Obsypání potrubí strojně sypaninou bez prohození, uloženou do 3 m</t>
  </si>
  <si>
    <t>1164288240</t>
  </si>
  <si>
    <t>"vedení kanalizační přípojky DN 500 délka*průř. plocha" 184,8*0,72</t>
  </si>
  <si>
    <t>"vedení kanalizač. vedení DN 300 délka*průř. plocha" 11,4*0,44</t>
  </si>
  <si>
    <t>"vedení kanalizač. vedení DN 150 délka*průř. plocha"(35+123,2)*0,23</t>
  </si>
  <si>
    <t>58344121</t>
  </si>
  <si>
    <t>štěrkodrť frakce 0/8</t>
  </si>
  <si>
    <t>1246443404</t>
  </si>
  <si>
    <t>174,458*2 "Přepočtené koeficientem množství</t>
  </si>
  <si>
    <t>Vodorovné konstrukce</t>
  </si>
  <si>
    <t>451572111</t>
  </si>
  <si>
    <t>Lože pod potrubí otevřený výkop z kameniva drobného těženého</t>
  </si>
  <si>
    <t>-639281287</t>
  </si>
  <si>
    <t>"vedení kanalizační přípojky DN 500 délka*průř. plocha" 184,8*0,25</t>
  </si>
  <si>
    <t>"vedení kanalizač. vedení DN 300 délka*průř. plocha" 11,4*0,14</t>
  </si>
  <si>
    <t>"vedení kanalizač. vedení DN 150 délka*průř. plocha"(35+123,2)*0,08</t>
  </si>
  <si>
    <t>452311131</t>
  </si>
  <si>
    <t>Podkladní desky z betonu prostého bez zvýšených nároků na prostředí tř. C 12/15 otevřený výkop</t>
  </si>
  <si>
    <t>1101100967</t>
  </si>
  <si>
    <t>https://podminky.urs.cz/item/CS_URS_2023_01/452311131</t>
  </si>
  <si>
    <t>"šachty" 3,14*0,73*0,73*0,2*5</t>
  </si>
  <si>
    <t>"vpusti" 0,75*0,75*0,2*6</t>
  </si>
  <si>
    <t>452386111</t>
  </si>
  <si>
    <t>Vyrovnávací prstence z betonu prostého tř. C 25/30 v do 100 mm</t>
  </si>
  <si>
    <t>129439585</t>
  </si>
  <si>
    <t>https://podminky.urs.cz/item/CS_URS_2023_01/452386111</t>
  </si>
  <si>
    <t>Poznámka k položce:_x000D_
sklon 2,5%; jednokomponentní malta s vysokou počáteční pevností</t>
  </si>
  <si>
    <t>Trubní vedení</t>
  </si>
  <si>
    <t>871365811</t>
  </si>
  <si>
    <t>Bourání stávajícího potrubí z PVC nebo PP DN přes 150 do 250</t>
  </si>
  <si>
    <t>2081911551</t>
  </si>
  <si>
    <t>https://podminky.urs.cz/item/CS_URS_2023_01/871365811</t>
  </si>
  <si>
    <t>Poznámka k položce:_x000D_
není známa dimenze ani materiál</t>
  </si>
  <si>
    <t>"stávajíc vedení domovních přípojek" 123</t>
  </si>
  <si>
    <t>871310310</t>
  </si>
  <si>
    <t>Montáž kanalizačního potrubí hladkého plnostěnného SN 10 z polypropylenu DN 150</t>
  </si>
  <si>
    <t>-202562190</t>
  </si>
  <si>
    <t>https://podminky.urs.cz/item/CS_URS_2023_01/871310310</t>
  </si>
  <si>
    <t>"délka přípojek UV" 35</t>
  </si>
  <si>
    <t>"délka přípojek svody RD" 123,2</t>
  </si>
  <si>
    <t>28617003</t>
  </si>
  <si>
    <t>trubka kanalizační PP plnostěnná třívrstvá DN 150x1000mm SN10</t>
  </si>
  <si>
    <t>-1257286360</t>
  </si>
  <si>
    <t>Poznámka k položce:_x000D_
pořez 3% - větší spád</t>
  </si>
  <si>
    <t>158,2*1,03 "Přepočtené koeficientem množství</t>
  </si>
  <si>
    <t>871370310</t>
  </si>
  <si>
    <t>Montáž kanalizačního potrubí hladkého plnostěnného SN 10 z polypropylenu DN 300</t>
  </si>
  <si>
    <t>-709780396</t>
  </si>
  <si>
    <t>https://podminky.urs.cz/item/CS_URS_2023_01/871370310</t>
  </si>
  <si>
    <t>"délka vedení kan. větve B2" 11,4</t>
  </si>
  <si>
    <t>28617006</t>
  </si>
  <si>
    <t>trubka kanalizační PP plnostěnná třívrstvá DN 300x1000mm SN10</t>
  </si>
  <si>
    <t>483302556</t>
  </si>
  <si>
    <t>11,4*1,015 "Přepočtené koeficientem množství</t>
  </si>
  <si>
    <t>871420310</t>
  </si>
  <si>
    <t>Montáž kanalizačního potrubí hladkého plnostěnného SN 10 z polypropylenu DN 500</t>
  </si>
  <si>
    <t>1831608211</t>
  </si>
  <si>
    <t>https://podminky.urs.cz/item/CS_URS_2023_01/871420310</t>
  </si>
  <si>
    <t>"délka vedení kan. větve B1+B3" 184,8</t>
  </si>
  <si>
    <t>28617008</t>
  </si>
  <si>
    <t>trubka kanalizační PP plnostěnná třívrstvá DN 500x1000mm SN10</t>
  </si>
  <si>
    <t>757599357</t>
  </si>
  <si>
    <t>184,8*1,015 "Přepočtené koeficientem množství</t>
  </si>
  <si>
    <t>877310310</t>
  </si>
  <si>
    <t>Montáž kolen na kanalizačním potrubí z PP trub hladkých plnostěnných DN 150</t>
  </si>
  <si>
    <t>685248461</t>
  </si>
  <si>
    <t>28617172</t>
  </si>
  <si>
    <t>koleno kanalizační PP SN16 30° DN 150</t>
  </si>
  <si>
    <t>745677621</t>
  </si>
  <si>
    <t>28617182</t>
  </si>
  <si>
    <t>koleno kanalizační PP SN16 45° DN 150</t>
  </si>
  <si>
    <t>-1142710823</t>
  </si>
  <si>
    <t>877310320</t>
  </si>
  <si>
    <t>Montáž odboček na kanalizačním potrubí z PP trub hladkých plnostěnných DN 150</t>
  </si>
  <si>
    <t>937631898</t>
  </si>
  <si>
    <t>https://podminky.urs.cz/item/CS_URS_2023_01/877310320</t>
  </si>
  <si>
    <t>28617205</t>
  </si>
  <si>
    <t>odbočka kanalizační PP SN16 45° DN 150/150</t>
  </si>
  <si>
    <t>-317939128</t>
  </si>
  <si>
    <t>Poznámka k položce:_x000D_
svod</t>
  </si>
  <si>
    <t>877370330</t>
  </si>
  <si>
    <t>Montáž spojek na kanalizačním potrubí z PP trub hladkých plnostěnných DN 300</t>
  </si>
  <si>
    <t>-96820377</t>
  </si>
  <si>
    <t>https://podminky.urs.cz/item/CS_URS_2023_01/877370330</t>
  </si>
  <si>
    <t>28611962</t>
  </si>
  <si>
    <t>zátka hrdlová kanalizační plastová PP SN16 DN 315</t>
  </si>
  <si>
    <t>1040145984</t>
  </si>
  <si>
    <t>Poznámka k položce:_x000D_
ŠD 17</t>
  </si>
  <si>
    <t>877420320</t>
  </si>
  <si>
    <t>Montáž odboček na kanalizačním potrubí z PP trub hladkých plnostěnných DN 500</t>
  </si>
  <si>
    <t>1754866431</t>
  </si>
  <si>
    <t>https://podminky.urs.cz/item/CS_URS_2023_01/877420320</t>
  </si>
  <si>
    <t>39</t>
  </si>
  <si>
    <t>28617224</t>
  </si>
  <si>
    <t>odbočka kanalizační PP SN16 45° DN 500/150</t>
  </si>
  <si>
    <t>666842595</t>
  </si>
  <si>
    <t>Poznámka k položce:_x000D_
přípojky UV a svody</t>
  </si>
  <si>
    <t>40</t>
  </si>
  <si>
    <t>877420330</t>
  </si>
  <si>
    <t>Montáž spojek na kanalizačním potrubí z PP trub hladkých plnostěnných DN 500</t>
  </si>
  <si>
    <t>1932264873</t>
  </si>
  <si>
    <t>https://podminky.urs.cz/item/CS_URS_2023_01/877420330</t>
  </si>
  <si>
    <t>41</t>
  </si>
  <si>
    <t>28611964</t>
  </si>
  <si>
    <t>zátka hrdlová kanalizační plastová PP SN16 DN 500</t>
  </si>
  <si>
    <t>2091357945</t>
  </si>
  <si>
    <t>Poznámka k položce:_x000D_
větev C1</t>
  </si>
  <si>
    <t>892351111</t>
  </si>
  <si>
    <t>Tlaková zkouška vodou potrubí DN 150 nebo 200</t>
  </si>
  <si>
    <t>-535459659</t>
  </si>
  <si>
    <t>https://podminky.urs.cz/item/CS_URS_2023_01/892351111</t>
  </si>
  <si>
    <t>Poznámka k položce:_x000D_
včetně zajištění konců zkoušených úseků, zkoušky budou provedeny samostatně po jednotlivých úsecích</t>
  </si>
  <si>
    <t>43</t>
  </si>
  <si>
    <t>892381111</t>
  </si>
  <si>
    <t>Tlaková zkouška vodou potrubí DN 250, DN 300 nebo 350</t>
  </si>
  <si>
    <t>-322548821</t>
  </si>
  <si>
    <t>https://podminky.urs.cz/item/CS_URS_2023_01/892381111</t>
  </si>
  <si>
    <t>44</t>
  </si>
  <si>
    <t>892421111</t>
  </si>
  <si>
    <t>Tlaková zkouška vodou potrubí DN 400 nebo 500</t>
  </si>
  <si>
    <t>-1828694118</t>
  </si>
  <si>
    <t>https://podminky.urs.cz/item/CS_URS_2023_01/892421111</t>
  </si>
  <si>
    <t>45</t>
  </si>
  <si>
    <t>894118001</t>
  </si>
  <si>
    <t>Příplatek ZKD 0,60 m výšky vstupu na potrubí</t>
  </si>
  <si>
    <t>780348528</t>
  </si>
  <si>
    <t>https://podminky.urs.cz/item/CS_URS_2023_01/894118001</t>
  </si>
  <si>
    <t>46</t>
  </si>
  <si>
    <t>894410103</t>
  </si>
  <si>
    <t>Osazení betonových dílců pro kanalizační šachty DN 1000 šachtové dno výšky 1000 mm</t>
  </si>
  <si>
    <t>2065637862</t>
  </si>
  <si>
    <t>https://podminky.urs.cz/item/CS_URS_2023_01/894410103</t>
  </si>
  <si>
    <t>47</t>
  </si>
  <si>
    <t>59224339</t>
  </si>
  <si>
    <t>dno betonové šachty kanalizační přímé 100x100x60cm</t>
  </si>
  <si>
    <t>1556977011</t>
  </si>
  <si>
    <t>48</t>
  </si>
  <si>
    <t>894410211</t>
  </si>
  <si>
    <t>Osazení betonových dílců pro kanalizační šachty DN 1000 skruž rovná výšky 250 mm</t>
  </si>
  <si>
    <t>1300164210</t>
  </si>
  <si>
    <t>https://podminky.urs.cz/item/CS_URS_2023_01/894410211</t>
  </si>
  <si>
    <t>49</t>
  </si>
  <si>
    <t>59224066</t>
  </si>
  <si>
    <t>skruž betonová DN 1000x250 PS, 100x25x12cm</t>
  </si>
  <si>
    <t>1637362709</t>
  </si>
  <si>
    <t>50</t>
  </si>
  <si>
    <t>59224013</t>
  </si>
  <si>
    <t>prstenec šachtový vyrovnávací betonový 625x100x100mm</t>
  </si>
  <si>
    <t>311789520</t>
  </si>
  <si>
    <t>51</t>
  </si>
  <si>
    <t>894410212</t>
  </si>
  <si>
    <t>Osazení betonových dílců pro kanalizační šachty DN 1000 skruž rovná výšky 500 mm</t>
  </si>
  <si>
    <t>1466660840</t>
  </si>
  <si>
    <t>https://podminky.urs.cz/item/CS_URS_2023_01/894410212</t>
  </si>
  <si>
    <t>52</t>
  </si>
  <si>
    <t>59224068</t>
  </si>
  <si>
    <t>skruž betonová DN 1000x500 PS, 100x50x12cm</t>
  </si>
  <si>
    <t>1899591222</t>
  </si>
  <si>
    <t>53</t>
  </si>
  <si>
    <t>59224010</t>
  </si>
  <si>
    <t>prstenec šachtový vyrovnávací betonový 625x100x40mm</t>
  </si>
  <si>
    <t>-727775371</t>
  </si>
  <si>
    <t>54</t>
  </si>
  <si>
    <t>59224014</t>
  </si>
  <si>
    <t>prstenec šachtový vyrovnávací betonový 625x100x120mm</t>
  </si>
  <si>
    <t>-481518748</t>
  </si>
  <si>
    <t>55</t>
  </si>
  <si>
    <t>894410232</t>
  </si>
  <si>
    <t>Osazení betonových dílců pro kanalizační šachty DN 1000 skruž přechodová (konus)</t>
  </si>
  <si>
    <t>1928387810</t>
  </si>
  <si>
    <t>https://podminky.urs.cz/item/CS_URS_2023_01/894410232</t>
  </si>
  <si>
    <t>56</t>
  </si>
  <si>
    <t>59224312</t>
  </si>
  <si>
    <t>kónus šachetní betonový kapsové plastové stupadlo 100x62,5x58cm</t>
  </si>
  <si>
    <t>-913232015</t>
  </si>
  <si>
    <t>57</t>
  </si>
  <si>
    <t>894410302</t>
  </si>
  <si>
    <t>Osazení betonových dílců pro kanalizační šachty DN 1000 deska zákrytová</t>
  </si>
  <si>
    <t>-1622412268</t>
  </si>
  <si>
    <t>https://podminky.urs.cz/item/CS_URS_2023_01/894410302</t>
  </si>
  <si>
    <t>58</t>
  </si>
  <si>
    <t>59224315</t>
  </si>
  <si>
    <t>deska betonová zákrytová pro kruhové šachty 100/62,5x16,5cm</t>
  </si>
  <si>
    <t>1762052740</t>
  </si>
  <si>
    <t>59</t>
  </si>
  <si>
    <t>894703021</t>
  </si>
  <si>
    <t>Dlažba šachet kruhových ze stokových desek</t>
  </si>
  <si>
    <t>-1409500223</t>
  </si>
  <si>
    <t>https://podminky.urs.cz/item/CS_URS_2023_01/894703021</t>
  </si>
  <si>
    <t>"čedičová výstelka" 3,14*0,5*0,5*4</t>
  </si>
  <si>
    <t>60</t>
  </si>
  <si>
    <t>895941302</t>
  </si>
  <si>
    <t>Osazení vpusti uliční DN 450 z betonových dílců dno s kalištěm</t>
  </si>
  <si>
    <t>-339307227</t>
  </si>
  <si>
    <t>https://podminky.urs.cz/item/CS_URS_2023_01/895941302</t>
  </si>
  <si>
    <t>61</t>
  </si>
  <si>
    <t>59224495</t>
  </si>
  <si>
    <t>vpusť uliční DN 450 kaliště nízké 450/240x50mm</t>
  </si>
  <si>
    <t>-1922482109</t>
  </si>
  <si>
    <t>62</t>
  </si>
  <si>
    <t>895941314</t>
  </si>
  <si>
    <t>Osazení vpusti uliční DN 450 z betonových dílců skruž horní 570 mm</t>
  </si>
  <si>
    <t>751579096</t>
  </si>
  <si>
    <t>https://podminky.urs.cz/item/CS_URS_2023_01/895941314</t>
  </si>
  <si>
    <t>63</t>
  </si>
  <si>
    <t>59224486</t>
  </si>
  <si>
    <t>vpusť uliční DN 450 skruž horní betonová 450/570x50mm</t>
  </si>
  <si>
    <t>430499627</t>
  </si>
  <si>
    <t>64</t>
  </si>
  <si>
    <t>59224483</t>
  </si>
  <si>
    <t>vpusť uliční DN 450 vyrovnávací prstenec pro rám 300x500mm</t>
  </si>
  <si>
    <t>693460022</t>
  </si>
  <si>
    <t>65</t>
  </si>
  <si>
    <t>895941331</t>
  </si>
  <si>
    <t>Osazení vpusti uliční DN 450 z betonových dílců skruž průběžná s výtokem</t>
  </si>
  <si>
    <t>-1326152877</t>
  </si>
  <si>
    <t>https://podminky.urs.cz/item/CS_URS_2023_01/895941331</t>
  </si>
  <si>
    <t>66</t>
  </si>
  <si>
    <t>59224489</t>
  </si>
  <si>
    <t>vpusť uliční DN 450 skruž průběžná s odtokem 150mm 450/450x50mm</t>
  </si>
  <si>
    <t>-1608917626</t>
  </si>
  <si>
    <t>67</t>
  </si>
  <si>
    <t>895941332</t>
  </si>
  <si>
    <t>Osazení vpusti uliční DN 450 z betonových dílců skruž průběžná se zápachovou uzávěrkou</t>
  </si>
  <si>
    <t>1861712482</t>
  </si>
  <si>
    <t>https://podminky.urs.cz/item/CS_URS_2023_01/895941332</t>
  </si>
  <si>
    <t>68</t>
  </si>
  <si>
    <t>59224493</t>
  </si>
  <si>
    <t>vpusť uliční DN 450 skruž průběžná 450/645x50mm betonová se zápachovou uzávěrkou 150mm PVC</t>
  </si>
  <si>
    <t>-1467878243</t>
  </si>
  <si>
    <t>69</t>
  </si>
  <si>
    <t>899104112</t>
  </si>
  <si>
    <t>Osazení poklopů litinových nebo ocelových včetně rámů pro třídu zatížení D400, E600</t>
  </si>
  <si>
    <t>1102395623</t>
  </si>
  <si>
    <t>70</t>
  </si>
  <si>
    <t>28659068</t>
  </si>
  <si>
    <t>adaptér plastový kruhový pro samonivelační poklopy DN 635</t>
  </si>
  <si>
    <t>-569782158</t>
  </si>
  <si>
    <t>71</t>
  </si>
  <si>
    <t>28661935</t>
  </si>
  <si>
    <t>poklop šachtový litinový DN 600 pro třídu zatížení D400</t>
  </si>
  <si>
    <t>1683537155</t>
  </si>
  <si>
    <t>72</t>
  </si>
  <si>
    <t>899204112</t>
  </si>
  <si>
    <t>Osazení mříží litinových včetně rámů a košů na bahno pro třídu zatížení D400, E600</t>
  </si>
  <si>
    <t>-1328034153</t>
  </si>
  <si>
    <t>73</t>
  </si>
  <si>
    <t>59223875</t>
  </si>
  <si>
    <t>koš nízký pro uliční vpusti žárově Pz plech pro rám 500/500mm</t>
  </si>
  <si>
    <t>310809377</t>
  </si>
  <si>
    <t>74</t>
  </si>
  <si>
    <t>59223260</t>
  </si>
  <si>
    <t>mříž vtoková litinová k uliční vpusti C250/D400 500x500mm</t>
  </si>
  <si>
    <t>1981988275</t>
  </si>
  <si>
    <t>75</t>
  </si>
  <si>
    <t>919735111</t>
  </si>
  <si>
    <t>Řezání stávajícího živičného krytu hl do 50 mm</t>
  </si>
  <si>
    <t>1147506740</t>
  </si>
  <si>
    <t>https://podminky.urs.cz/item/CS_URS_2023_01/919735111</t>
  </si>
  <si>
    <t>"vedení" 184,8*2+2*1,3+11,4*2+2*0,9</t>
  </si>
  <si>
    <t>"šachty" 5*1,6*2</t>
  </si>
  <si>
    <t>76</t>
  </si>
  <si>
    <t>935923218</t>
  </si>
  <si>
    <t>Osazení vpusti pro odvodňovací žlab betonový nebo polymerbetonový s krycím roštem šířky přes 200 mm</t>
  </si>
  <si>
    <t>489360609</t>
  </si>
  <si>
    <t>https://podminky.urs.cz/item/CS_URS_2023_01/935923218</t>
  </si>
  <si>
    <t>77</t>
  </si>
  <si>
    <t>59223102</t>
  </si>
  <si>
    <t>šachta odtoková včetně kalového koše a adaptéru pro napojení na žlab š 150mm PE/PP připojení 110mm až 160mm</t>
  </si>
  <si>
    <t>-1012998711</t>
  </si>
  <si>
    <t>78</t>
  </si>
  <si>
    <t>56241035</t>
  </si>
  <si>
    <t>rošt mřížkový D400 litina pro žlab š 200mm</t>
  </si>
  <si>
    <t>102078306</t>
  </si>
  <si>
    <t>79</t>
  </si>
  <si>
    <t>977151124</t>
  </si>
  <si>
    <t>Jádrové vrty diamantovými korunkami do D 180 mm do stavebních materiálů</t>
  </si>
  <si>
    <t>564022279</t>
  </si>
  <si>
    <t>"šachta UV 28,27" 2*0,12</t>
  </si>
  <si>
    <t>"svod" 1*0,12</t>
  </si>
  <si>
    <t>80</t>
  </si>
  <si>
    <t>-113318925</t>
  </si>
  <si>
    <t>"odpad k recyklaci na deponi a zpět" (24,98+150,561)*2</t>
  </si>
  <si>
    <t>"dlažba na deponii" 94,222</t>
  </si>
  <si>
    <t>"odpad na skládku" 1,845+0,02</t>
  </si>
  <si>
    <t>81</t>
  </si>
  <si>
    <t>241821421</t>
  </si>
  <si>
    <t>Poznámka k položce:_x000D_
skládka Michalovice (cca 14 km)</t>
  </si>
  <si>
    <t>1,865*13 "Přepočtené koeficientem množství</t>
  </si>
  <si>
    <t>82</t>
  </si>
  <si>
    <t>-130834343</t>
  </si>
  <si>
    <t>"odpad k recyklaci na deponi a zpět" (24,98+150,561)</t>
  </si>
  <si>
    <t>83</t>
  </si>
  <si>
    <t>42586812</t>
  </si>
  <si>
    <t>84</t>
  </si>
  <si>
    <t>998276101</t>
  </si>
  <si>
    <t>Přesun hmot pro trubní vedení z trub z plastických hmot otevřený výkop</t>
  </si>
  <si>
    <t>1241789230</t>
  </si>
  <si>
    <t>85</t>
  </si>
  <si>
    <t>998276124</t>
  </si>
  <si>
    <t>Příplatek k přesunu hmot pro trubní vedení z trub z plastických hmot za zvětšený přesun do 500 m</t>
  </si>
  <si>
    <t>-116049870</t>
  </si>
  <si>
    <t>721</t>
  </si>
  <si>
    <t>Zdravotechnika - vnitřní kanalizace</t>
  </si>
  <si>
    <t>86</t>
  </si>
  <si>
    <t>721249109</t>
  </si>
  <si>
    <t>Montáž lapače střešních splavenin z litiny DN 150 ostatní typ</t>
  </si>
  <si>
    <t>994571391</t>
  </si>
  <si>
    <t>https://podminky.urs.cz/item/CS_URS_2023_01/721249109</t>
  </si>
  <si>
    <t>87</t>
  </si>
  <si>
    <t>55244102</t>
  </si>
  <si>
    <t>lapač litinový střešních splavenin DN 150</t>
  </si>
  <si>
    <t>-1154377376</t>
  </si>
  <si>
    <t>88</t>
  </si>
  <si>
    <t>998721101</t>
  </si>
  <si>
    <t>Přesun hmot tonážní pro vnitřní kanalizace v objektech v do 6 m</t>
  </si>
  <si>
    <t>437870154</t>
  </si>
  <si>
    <t>https://podminky.urs.cz/item/CS_URS_2023_01/998721101</t>
  </si>
  <si>
    <t>VRN</t>
  </si>
  <si>
    <t>Vedlejší rozpočtové náklady</t>
  </si>
  <si>
    <t>VRN4</t>
  </si>
  <si>
    <t>Inženýrská činnost</t>
  </si>
  <si>
    <t>89</t>
  </si>
  <si>
    <t>043134000</t>
  </si>
  <si>
    <t>Zkoušky zatěžovací</t>
  </si>
  <si>
    <t>kpl</t>
  </si>
  <si>
    <t>1024</t>
  </si>
  <si>
    <t>-93472510</t>
  </si>
  <si>
    <t>https://podminky.urs.cz/item/CS_URS_2023_01/043134000</t>
  </si>
  <si>
    <t>Poznámka k položce:_x000D_
Součástí položky jsou zejména náklady na:_x000D_
- statická zatěžovací zklouška k prokázání stupně zhutnění zásypů výkopů po jednotlivých úsecích - 5 úseků_x000D_
- statická zátěžová zkouška zemní pláně po jednotlivých úsecích  - 5 úseků.</t>
  </si>
  <si>
    <t>90</t>
  </si>
  <si>
    <t>043144000</t>
  </si>
  <si>
    <t>Zkoušky těsnosti</t>
  </si>
  <si>
    <t>1175134107</t>
  </si>
  <si>
    <t>Poznámka k položce:_x000D_
Součástí položky jsou zejména náklady na:_x000D_
- zkouška těsnosti šachet - 5ks</t>
  </si>
  <si>
    <t>91</t>
  </si>
  <si>
    <t>043194000</t>
  </si>
  <si>
    <t>Ostatní zkoušky</t>
  </si>
  <si>
    <t>-1362132970</t>
  </si>
  <si>
    <t>https://podminky.urs.cz/item/CS_URS_2023_01/043194000</t>
  </si>
  <si>
    <t>Poznámka k položce:_x000D_
Součástí položky jsou zejména náklady na:_x000D_
- zkouška betonové směs - 5 úseků.</t>
  </si>
  <si>
    <t>92</t>
  </si>
  <si>
    <t>043203000</t>
  </si>
  <si>
    <t>Měření, monitoring, rozbory bez rozlišení - kamerová zkouška</t>
  </si>
  <si>
    <t>-46735299</t>
  </si>
  <si>
    <t>https://podminky.urs.cz/item/CS_URS_2023_01/043203000</t>
  </si>
  <si>
    <t>Poznámka k položce:_x000D_
Kamerová zkouška s vyhotovením protokolu a výškového profilu (před uvedením do provozu a před koncem záruky)</t>
  </si>
  <si>
    <t>SO 401.I - Veřejné osvětlení a rozhlas I. etapa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</si>
  <si>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</si>
  <si>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</si>
  <si>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</si>
  <si>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</si>
  <si>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</si>
  <si>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</si>
  <si>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945421110</t>
  </si>
  <si>
    <t>Hydraulická zvedací plošina na automobilovém podvozku výška zdvihu do 18 m včetně obsluhy</t>
  </si>
  <si>
    <t>-1411669222</t>
  </si>
  <si>
    <t>https://podminky.urs.cz/item/CS_URS_2023_01/945421110</t>
  </si>
  <si>
    <t>741</t>
  </si>
  <si>
    <t>Elektroinstalace - silnoproud</t>
  </si>
  <si>
    <t>741110312</t>
  </si>
  <si>
    <t>Montáž trubka ochranná do krabic plastová tuhá D přes 40 do 90 mm uložená volně</t>
  </si>
  <si>
    <t>-1426938449</t>
  </si>
  <si>
    <t>https://podminky.urs.cz/item/CS_URS_2023_01/741110312</t>
  </si>
  <si>
    <t>34571361</t>
  </si>
  <si>
    <t>trubka elektroinstalační HDPE tuhá dvouplášťová korugovaná D 41/50mm</t>
  </si>
  <si>
    <t>40302121</t>
  </si>
  <si>
    <t>752*1,05 "Přepočtené koeficientem množství</t>
  </si>
  <si>
    <t>741110314</t>
  </si>
  <si>
    <t>Montáž trubka ochranná do krabic plastová tuhá D přes 133 do 152 mm uložená volně</t>
  </si>
  <si>
    <t>-827434051</t>
  </si>
  <si>
    <t>https://podminky.urs.cz/item/CS_URS_2023_01/741110314</t>
  </si>
  <si>
    <t>28611140</t>
  </si>
  <si>
    <t>trubka kanalizační PVC DN 250x1000mm SN4</t>
  </si>
  <si>
    <t>-810099523</t>
  </si>
  <si>
    <t>11*1,05 "Přepočtené koeficientem množství</t>
  </si>
  <si>
    <t>741122122</t>
  </si>
  <si>
    <t>Montáž kabel Cu plný kulatý žíla 3x1,5 až 6 mm2 zatažený v trubkách (CYKY)</t>
  </si>
  <si>
    <t>-2110858390</t>
  </si>
  <si>
    <t>34111030</t>
  </si>
  <si>
    <t>kabel silový s Cu jádrem 1kV 3x1,5mm2</t>
  </si>
  <si>
    <t>1810370834</t>
  </si>
  <si>
    <t>66*1,15 "Přepočtené koeficientem množství</t>
  </si>
  <si>
    <t>741122131</t>
  </si>
  <si>
    <t>Montáž kabel Cu plný kulatý žíla 4x1,5 až 4 mm2 zatažený v trubkách (např. CYKY)</t>
  </si>
  <si>
    <t>1792553225</t>
  </si>
  <si>
    <t>https://podminky.urs.cz/item/CS_URS_2023_01/741122131</t>
  </si>
  <si>
    <t>34111068</t>
  </si>
  <si>
    <t>kabel instalační jádro Cu plné izolace PVC plášť PVC 450/750V (CYKY) 4x4mm2</t>
  </si>
  <si>
    <t>-63186501</t>
  </si>
  <si>
    <t>330*1,15 "Přepočtené koeficientem množství</t>
  </si>
  <si>
    <t>741122134</t>
  </si>
  <si>
    <t>Montáž kabel Cu plný kulatý žíla 4x16 až 25 mm2 zatažený v trubkách (např. CYKY)</t>
  </si>
  <si>
    <t>-183262936</t>
  </si>
  <si>
    <t>https://podminky.urs.cz/item/CS_URS_2023_01/741122134</t>
  </si>
  <si>
    <t>34111080</t>
  </si>
  <si>
    <t>kabel instalační jádro Cu plné izolace PVC plášť PVC 450/750V (CYKY) 4x16mm2</t>
  </si>
  <si>
    <t>146001267</t>
  </si>
  <si>
    <t>43*1,15 "Přepočtené koeficientem množství</t>
  </si>
  <si>
    <t>741123224</t>
  </si>
  <si>
    <t>Montáž kabel Al plný nebo laněný kulatý žíla 4x16 mm2 uložený volně (např. AYKY)</t>
  </si>
  <si>
    <t>-1622027956</t>
  </si>
  <si>
    <t>https://podminky.urs.cz/item/CS_URS_2023_01/741123224</t>
  </si>
  <si>
    <t>34112316</t>
  </si>
  <si>
    <t>kabel instalační jádro Al plné izolace PVC plášť PVC 450/750V (AYKY) 4x16mm2</t>
  </si>
  <si>
    <t>1019896993</t>
  </si>
  <si>
    <t>454*1,15 "Přepočtené koeficientem množství</t>
  </si>
  <si>
    <t>741130021</t>
  </si>
  <si>
    <t>Ukončení vodič izolovaný do 2,5 mm2 na svorkovnici</t>
  </si>
  <si>
    <t>2142577363</t>
  </si>
  <si>
    <t>741130026</t>
  </si>
  <si>
    <t>Ukončení vodič izolovaný do 25 mm2 na svorkovnici</t>
  </si>
  <si>
    <t>688550595</t>
  </si>
  <si>
    <t>741410021</t>
  </si>
  <si>
    <t>Montáž vodič uzemňovací pásek průřezu do 120 mm2 v městské zástavbě v zemi</t>
  </si>
  <si>
    <t>-751606930</t>
  </si>
  <si>
    <t>35442062</t>
  </si>
  <si>
    <t>pás zemnící 30x4mm FeZn</t>
  </si>
  <si>
    <t>1264188657</t>
  </si>
  <si>
    <t>422*0,95 "Přepočtené koeficientem množství</t>
  </si>
  <si>
    <t>741810003</t>
  </si>
  <si>
    <t>Celková prohlídka elektrického rozvodu a zařízení přes 0,5 do 1 milionu Kč</t>
  </si>
  <si>
    <t>-2075922644</t>
  </si>
  <si>
    <t>https://podminky.urs.cz/item/CS_URS_2023_01/741810003</t>
  </si>
  <si>
    <t>741820102</t>
  </si>
  <si>
    <t>Měření intenzity osvětlení</t>
  </si>
  <si>
    <t>soubor</t>
  </si>
  <si>
    <t>127020373</t>
  </si>
  <si>
    <t>998741101</t>
  </si>
  <si>
    <t>Přesun hmot tonážní pro silnoproud v objektech v do 6 m</t>
  </si>
  <si>
    <t>278515449</t>
  </si>
  <si>
    <t>998741193</t>
  </si>
  <si>
    <t>Příplatek k přesunu hmot tonážní 741 za zvětšený přesun do 500 m</t>
  </si>
  <si>
    <t>919899670</t>
  </si>
  <si>
    <t>Práce a dodávky M</t>
  </si>
  <si>
    <t>21-M</t>
  </si>
  <si>
    <t>Elektromontáže</t>
  </si>
  <si>
    <t>210203901</t>
  </si>
  <si>
    <t>Montáž svítidel LED se zapojením vodičů průmyslových nebo venkovních na výložník nebo dřík</t>
  </si>
  <si>
    <t>-2090431566</t>
  </si>
  <si>
    <t>https://podminky.urs.cz/item/CS_URS_2023_01/210203901</t>
  </si>
  <si>
    <t>34774000.R1</t>
  </si>
  <si>
    <t xml:space="preserve">svítidlo pro osvětlení komunikace zdroj LED  46W, 5 500 lm, 3000K </t>
  </si>
  <si>
    <t>128</t>
  </si>
  <si>
    <t>-1548796078</t>
  </si>
  <si>
    <t>210204011</t>
  </si>
  <si>
    <t>Montáž stožárů osvětlení ocelových samostatně stojících délky do 12 m</t>
  </si>
  <si>
    <t>-1540292390</t>
  </si>
  <si>
    <t>https://podminky.urs.cz/item/CS_URS_2023_01/210204011</t>
  </si>
  <si>
    <t>1010043080</t>
  </si>
  <si>
    <t>stožár kuželový 60/60/3 6 m</t>
  </si>
  <si>
    <t>-217059848</t>
  </si>
  <si>
    <t>210204201</t>
  </si>
  <si>
    <t>Dodávka a montáž elektrovýzbroje stožárů osvětlení 1 okruh</t>
  </si>
  <si>
    <t>-1834170358</t>
  </si>
  <si>
    <t>31674130</t>
  </si>
  <si>
    <t>výzbroj stožárová SV 6.10.4</t>
  </si>
  <si>
    <t>-111523069</t>
  </si>
  <si>
    <t>210280131</t>
  </si>
  <si>
    <t>Revize, seřízení a uvedení do provozu řídící skříně pro vn</t>
  </si>
  <si>
    <t>574227934</t>
  </si>
  <si>
    <t>https://podminky.urs.cz/item/CS_URS_2023_01/210280131</t>
  </si>
  <si>
    <t>Poznámka k položce:_x000D_
Napojení nového rozvodu VO ve stávající lampě či rozvaděči, včetně seřízení a uvedení do provozu.</t>
  </si>
  <si>
    <t>218204011</t>
  </si>
  <si>
    <t>Demontáž stožárů osvětlení ocelových samostatně stojících délky do 12 m</t>
  </si>
  <si>
    <t>1190079246</t>
  </si>
  <si>
    <t>https://podminky.urs.cz/item/CS_URS_2023_01/218204011</t>
  </si>
  <si>
    <t>22-M</t>
  </si>
  <si>
    <t>Montáže technologických zařízení pro dopravní stavby</t>
  </si>
  <si>
    <t>220370445</t>
  </si>
  <si>
    <t>Montáž reproduktoru na ocelový stožár</t>
  </si>
  <si>
    <t>-213633062</t>
  </si>
  <si>
    <t>https://podminky.urs.cz/item/CS_URS_2023_01/220370445</t>
  </si>
  <si>
    <t>1000301176</t>
  </si>
  <si>
    <t>tlakovy reproduktor 15W, EN 54, ABS</t>
  </si>
  <si>
    <t>256</t>
  </si>
  <si>
    <t>1516206822</t>
  </si>
  <si>
    <t>220960021</t>
  </si>
  <si>
    <t>Montáž svorkovnice stožárové</t>
  </si>
  <si>
    <t>1152378535</t>
  </si>
  <si>
    <t>1196291.R</t>
  </si>
  <si>
    <t xml:space="preserve">stožárová svorkovnice </t>
  </si>
  <si>
    <t>-1632000178</t>
  </si>
  <si>
    <t>46-M</t>
  </si>
  <si>
    <t>Zemní práce při extr.mont.pracích</t>
  </si>
  <si>
    <t>460141112</t>
  </si>
  <si>
    <t>Hloubení nezapažených jam při elektromontážích strojně v hornině tř I skupiny 3</t>
  </si>
  <si>
    <t>-2043441716</t>
  </si>
  <si>
    <t>https://podminky.urs.cz/item/CS_URS_2023_01/460141112</t>
  </si>
  <si>
    <t>"stožár"11*1*1*1</t>
  </si>
  <si>
    <t>460171182</t>
  </si>
  <si>
    <t>Hloubení kabelových nezapažených rýh strojně š 35 cm hl 90 cm v hornině tř I skupiny 3</t>
  </si>
  <si>
    <t>-1108107841</t>
  </si>
  <si>
    <t>https://podminky.urs.cz/item/CS_URS_2023_01/460171182</t>
  </si>
  <si>
    <t>460341113</t>
  </si>
  <si>
    <t>Vodorovné přemístění horniny jakékoliv třídy dopravními prostředky při elektromontážích přes 500 do 1000 m</t>
  </si>
  <si>
    <t>-1988883870</t>
  </si>
  <si>
    <t>https://podminky.urs.cz/item/CS_URS_2023_01/460341113</t>
  </si>
  <si>
    <t>"zemina výkop-zásypy" (11+380*0,4*1)-(380*0,4*0,65)</t>
  </si>
  <si>
    <t>460341121</t>
  </si>
  <si>
    <t>Příplatek k vodorovnému přemístění horniny dopravními prostředky při elektromontážích za každých dalších i započatých 1000 m</t>
  </si>
  <si>
    <t>-226036111</t>
  </si>
  <si>
    <t>https://podminky.urs.cz/item/CS_URS_2023_01/460341121</t>
  </si>
  <si>
    <t>Poznámka k položce:_x000D_
Skládka Michalovice (cca 14km)</t>
  </si>
  <si>
    <t>64,2*13 "Přepočtené koeficientem množství</t>
  </si>
  <si>
    <t>460361111</t>
  </si>
  <si>
    <t>Poplatek za uložení zeminy na skládce (skládkovné) kód odpadu 17 05 04</t>
  </si>
  <si>
    <t>-950339006</t>
  </si>
  <si>
    <t>https://podminky.urs.cz/item/CS_URS_2023_01/460361111</t>
  </si>
  <si>
    <t>64,2*2 "Přepočtené koeficientem množství</t>
  </si>
  <si>
    <t>460451192</t>
  </si>
  <si>
    <t>Zásyp kabelových rýh strojně se zhutněním š 35 cm hl 90 cm z horniny tř I skupiny 3</t>
  </si>
  <si>
    <t>166518332</t>
  </si>
  <si>
    <t>https://podminky.urs.cz/item/CS_URS_2023_01/460451192</t>
  </si>
  <si>
    <t>58331200</t>
  </si>
  <si>
    <t>štěrkopísek netříděný zásypový</t>
  </si>
  <si>
    <t>-1177822991</t>
  </si>
  <si>
    <t>"obsyp potrubí v tl. 200 mm- vedení" (0,2*0,4*380)-(3,14*0,025*0,025*380)</t>
  </si>
  <si>
    <t>29,654*2 "Přepočtené koeficientem množství</t>
  </si>
  <si>
    <t>460641113</t>
  </si>
  <si>
    <t>Základové konstrukce při elektromontážích z monolitického betonu tř. C 16/20</t>
  </si>
  <si>
    <t>-1305174938</t>
  </si>
  <si>
    <t>https://podminky.urs.cz/item/CS_URS_2023_01/460641113</t>
  </si>
  <si>
    <t>460661112</t>
  </si>
  <si>
    <t>Kabelové lože z písku pro kabely nn bez zakrytí š lože přes 35 do 50 cm</t>
  </si>
  <si>
    <t>1334700956</t>
  </si>
  <si>
    <t>https://podminky.urs.cz/item/CS_URS_2023_01/460661112</t>
  </si>
  <si>
    <t>460671113</t>
  </si>
  <si>
    <t>Výstražná fólie pro krytí kabelů šířky 34 cm</t>
  </si>
  <si>
    <t>725993430</t>
  </si>
  <si>
    <t>https://podminky.urs.cz/item/CS_URS_2023_01/460671113</t>
  </si>
  <si>
    <t>469981111</t>
  </si>
  <si>
    <t>Přesun hmot pro pomocné stavební práce při elektromotážích</t>
  </si>
  <si>
    <t>-1188594361</t>
  </si>
  <si>
    <t>https://podminky.urs.cz/item/CS_URS_2023_01/469981111</t>
  </si>
  <si>
    <t>SO 404.I - Chráničky pro optickou síť I. etapa</t>
  </si>
  <si>
    <t xml:space="preserve">    742 - Elektroinstalace - slaboproud</t>
  </si>
  <si>
    <t>742</t>
  </si>
  <si>
    <t>Elektroinstalace - slaboproud</t>
  </si>
  <si>
    <t>742110021</t>
  </si>
  <si>
    <t>Montáž trubek pro slaboproud plastových tuhých pro vnější rozvody uložených volně na příchytky</t>
  </si>
  <si>
    <t>1905236869</t>
  </si>
  <si>
    <t>https://podminky.urs.cz/item/CS_URS_2023_01/742110021</t>
  </si>
  <si>
    <t>34571800</t>
  </si>
  <si>
    <t>chránička optického kabelu HDPE jednoplášťová bezhalogenová D 25/20mm</t>
  </si>
  <si>
    <t>-729890699</t>
  </si>
  <si>
    <t>780*1,05 "Přepočtené koeficientem množství</t>
  </si>
  <si>
    <t>998742101</t>
  </si>
  <si>
    <t>Přesun hmot tonážní pro slaboproud v objektech v do 6 m</t>
  </si>
  <si>
    <t>-1601413324</t>
  </si>
  <si>
    <t>https://podminky.urs.cz/item/CS_URS_2023_01/998742101</t>
  </si>
  <si>
    <t>998742194</t>
  </si>
  <si>
    <t>Příplatek k přesunu hmot tonážní 742 za zvětšený přesun do 1000 m</t>
  </si>
  <si>
    <t>442636768</t>
  </si>
  <si>
    <t>https://podminky.urs.cz/item/CS_URS_2023_01/998742194</t>
  </si>
  <si>
    <t>220182029</t>
  </si>
  <si>
    <t>Montáž plastové komory na spojkování optického kabelu</t>
  </si>
  <si>
    <t>-1564155206</t>
  </si>
  <si>
    <t>https://podminky.urs.cz/item/CS_URS_2023_01/220182029</t>
  </si>
  <si>
    <t>8503801212.R</t>
  </si>
  <si>
    <t>Komora kabelová HDPE 580x580mm, hloubka 600mm s kompozitní víka s rámem, nosnost	12.5 t (B125), rozměry víka 680x680 mm</t>
  </si>
  <si>
    <t>282219504</t>
  </si>
  <si>
    <t>SO 801.I - Sadové úpravy I. etapa</t>
  </si>
  <si>
    <t>-1870995973</t>
  </si>
  <si>
    <t>"ornice" 56,571</t>
  </si>
  <si>
    <t>167151101</t>
  </si>
  <si>
    <t>Nakládání výkopku z hornin třídy těžitelnosti I skupiny 1 až 3 do 100 m3</t>
  </si>
  <si>
    <t>-1303172539</t>
  </si>
  <si>
    <t>https://podminky.urs.cz/item/CS_URS_2023_01/167151101</t>
  </si>
  <si>
    <t>181111121</t>
  </si>
  <si>
    <t>Plošná úprava terénu do 500 m2 zemina skupiny 1 až 4 nerovnosti přes 100 do 150 mm v rovinně a svahu do 1:5</t>
  </si>
  <si>
    <t>-1079887690</t>
  </si>
  <si>
    <t>https://podminky.urs.cz/item/CS_URS_2023_01/181111121</t>
  </si>
  <si>
    <t>181351103</t>
  </si>
  <si>
    <t>Rozprostření ornice tl vrstvy do 200 mm pl přes 100 do 500 m2 v rovině nebo ve svahu do 1:5 strojně</t>
  </si>
  <si>
    <t>135111598</t>
  </si>
  <si>
    <t>https://podminky.urs.cz/item/CS_URS_2023_01/181351103</t>
  </si>
  <si>
    <t>181411131</t>
  </si>
  <si>
    <t>Založení parkového trávníku výsevem pl do 1000 m2 v rovině a ve svahu do 1:5</t>
  </si>
  <si>
    <t>-553799881</t>
  </si>
  <si>
    <t>https://podminky.urs.cz/item/CS_URS_2023_01/181411131</t>
  </si>
  <si>
    <t>"plocha trávníku" 337,14</t>
  </si>
  <si>
    <t>00572410</t>
  </si>
  <si>
    <t>osivo směs travní parková</t>
  </si>
  <si>
    <t>166612908</t>
  </si>
  <si>
    <t>337,14*0,02 "Přepočtené koeficientem množství</t>
  </si>
  <si>
    <t>183402121</t>
  </si>
  <si>
    <t>Rozrušení půdy souvislé pl přes 100 do 500 m2 hl přes 50 do 150 mm v rovině a svahu do 1:5</t>
  </si>
  <si>
    <t>-1224740217</t>
  </si>
  <si>
    <t>https://podminky.urs.cz/item/CS_URS_2023_01/183402121</t>
  </si>
  <si>
    <t>10364101</t>
  </si>
  <si>
    <t>zemina pro terénní úpravy - ornice</t>
  </si>
  <si>
    <t>728388313</t>
  </si>
  <si>
    <t>183403153</t>
  </si>
  <si>
    <t>Obdělání půdy hrabáním v rovině a svahu do 1:5</t>
  </si>
  <si>
    <t>-2001653707</t>
  </si>
  <si>
    <t>184813511</t>
  </si>
  <si>
    <t>Chemické odplevelení před založením kultury postřikem na široko v rovině a svahu do 1:5 ručně</t>
  </si>
  <si>
    <t>-1317315144</t>
  </si>
  <si>
    <t>184813521</t>
  </si>
  <si>
    <t>Chemické odplevelení po založení kultury postřikem na široko v rovině a svahu do 1:5 ručně</t>
  </si>
  <si>
    <t>-224924725</t>
  </si>
  <si>
    <t>https://podminky.urs.cz/item/CS_URS_2023_01/184813521</t>
  </si>
  <si>
    <t>185802113</t>
  </si>
  <si>
    <t>Hnojení půdy umělým hnojivem na široko v rovině a svahu do 1:5</t>
  </si>
  <si>
    <t>1322313476</t>
  </si>
  <si>
    <t>"4-5 g na m2" 337,14*0,025/1000</t>
  </si>
  <si>
    <t>25191155</t>
  </si>
  <si>
    <t>hnojivo průmyslové</t>
  </si>
  <si>
    <t>-1546638413</t>
  </si>
  <si>
    <t>185851121</t>
  </si>
  <si>
    <t>Dovoz vody pro zálivku rostlin za vzdálenost do 1000 m</t>
  </si>
  <si>
    <t>-1171933161</t>
  </si>
  <si>
    <t>"trávník" 337,14*0,01</t>
  </si>
  <si>
    <t>998231411</t>
  </si>
  <si>
    <t>Ruční přesun hmot pro sadovnické a krajinářské úpravy do 100 m</t>
  </si>
  <si>
    <t>1295919893</t>
  </si>
  <si>
    <t>SO 101.II - Nový chodník II. etapa</t>
  </si>
  <si>
    <t>Náklady stavby celkem</t>
  </si>
  <si>
    <t>121151113</t>
  </si>
  <si>
    <t>Sejmutí ornice strojně při souvislé ploše přes 100 do 500 m2, tl. vrstvy do 200 mm</t>
  </si>
  <si>
    <t>1871149174</t>
  </si>
  <si>
    <t>https://podminky.urs.cz/item/CS_URS_2023_01/121151113</t>
  </si>
  <si>
    <t>"plocha* rozšíření 22%" 50,53*1,22</t>
  </si>
  <si>
    <t>Odkopávky a prokopávky nezapažené strojně v hornině třídy těžitelnosti I skupiny 1 a 2 přes 100 do 500 m3</t>
  </si>
  <si>
    <t>-1003289069</t>
  </si>
  <si>
    <t>"plocha chodníku* rozšíření 22%" 50,53*1,22*0,20</t>
  </si>
  <si>
    <t>"plocha chodníku* rozšíření 22% - sanace" 450,53*1,22*0,3</t>
  </si>
  <si>
    <t>Příplatek k cenám vykopávek za ztížení vykopávky v blízkosti podzemního vedení nebo výbušnin v horninách jakékoliv třídy</t>
  </si>
  <si>
    <t>-504935297</t>
  </si>
  <si>
    <t>"délka*šířka*hloubka vedení sděl. sítí"27*1*0,5</t>
  </si>
  <si>
    <t>"délka*šířka*hloubka vedení VN,NN"27*1*0,5</t>
  </si>
  <si>
    <t>"délka*šířka*hloubka vedení plynovod"29*1*0,5</t>
  </si>
  <si>
    <t>"délka*šířka*hloubka vedení vodovod"2*1*0,5</t>
  </si>
  <si>
    <t>"délka*šířka*hloubka vedení kanalizace"2*1*0,5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</si>
  <si>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</si>
  <si>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</si>
  <si>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1361473076</t>
  </si>
  <si>
    <t>https://podminky.urs.cz/item/CS_URS_2023_01/162351103</t>
  </si>
  <si>
    <t>"ornice na deponii" 61,647*0,15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</si>
  <si>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</si>
  <si>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-1168424397</t>
  </si>
  <si>
    <t>"výkop"177,223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</si>
  <si>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</si>
  <si>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-1710067591</t>
  </si>
  <si>
    <t>177,223*4 "Přepočtené koeficientem množství</t>
  </si>
  <si>
    <t>Poplatek za uložení stavebního odpadu na skládce (skládkovné) zeminy a kamení zatříděného do Katalogu odpadů pod kódem 17 05 04</t>
  </si>
  <si>
    <t>209610498</t>
  </si>
  <si>
    <t>177,223*2 "Přepočtené koeficientem množství</t>
  </si>
  <si>
    <t>Uložení sypaniny na skládky nebo meziskládky bez hutnění s upravením uložené sypaniny do předepsaného tvaru</t>
  </si>
  <si>
    <t>-1231967909</t>
  </si>
  <si>
    <t>Úprava pláně na stavbách silnic a dálnic strojně v zářezech mimo skalních se zhutněním</t>
  </si>
  <si>
    <t>1723387753</t>
  </si>
  <si>
    <t>https://podminky.urs.cz/item/CS_URS_2023_01/181152302</t>
  </si>
  <si>
    <t>"plocha pláně sanace"61,65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</si>
  <si>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</si>
  <si>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-586184530</t>
  </si>
  <si>
    <t>"plocha pláně sanace" 61,65</t>
  </si>
  <si>
    <t>2107147778</t>
  </si>
  <si>
    <t>"4%/1m2*výška*obj. hmotnost" 61,65*0,3*2000/1000*0,04</t>
  </si>
  <si>
    <t>564871011</t>
  </si>
  <si>
    <t>Podklad ze štěrkodrti ŠD s rozprostřením a zhutněním plochy jednotlivě do 100 m2, po zhutnění tl. 250 mm</t>
  </si>
  <si>
    <t>-8637907</t>
  </si>
  <si>
    <t>https://podminky.urs.cz/item/CS_URS_2023_01/564871011</t>
  </si>
  <si>
    <t>"plocha chodníku rozšířená 7%"50,53*1,07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</si>
  <si>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</si>
  <si>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</si>
  <si>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567276278</t>
  </si>
  <si>
    <t>https://podminky.urs.cz/item/CS_URS_2023_01/596211110</t>
  </si>
  <si>
    <t>"plocha chodníku"43,3+7,23</t>
  </si>
  <si>
    <t>662207872</t>
  </si>
  <si>
    <t>"plocha chodníku" 37,67+5,66</t>
  </si>
  <si>
    <t>43,33*1,03 "Přepočtené koeficientem množství</t>
  </si>
  <si>
    <t>-2011582350</t>
  </si>
  <si>
    <t>"plocha chodníku" 0,63+1,26+0,57+1,36+0,78+1,23+1,4</t>
  </si>
  <si>
    <t>7,23*1,03 "Přepočtené koeficientem množství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</si>
  <si>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</si>
  <si>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-1495278460</t>
  </si>
  <si>
    <t>Osazení chodníkového obrubníku betonového se zřízením lože, s vyplněním a zatřením spár cementovou maltou stojatého s boční opěrou z betonu prostého, do lože z betonu prostého</t>
  </si>
  <si>
    <t>894257034</t>
  </si>
  <si>
    <t>"délka obrubníku" 3,27+52,73</t>
  </si>
  <si>
    <t>-1879255973</t>
  </si>
  <si>
    <t>"délka obrubníku" 2+1+6,63+1,5*2+9,72+1+2,05+26,94+0,39</t>
  </si>
  <si>
    <t>52,73*1,02 "Přepočtené koeficientem množství</t>
  </si>
  <si>
    <t>-701984148</t>
  </si>
  <si>
    <t>"délka obrubníku R1" 1,7+1,57</t>
  </si>
  <si>
    <t>3,27*1,02 "Přepočtené koeficientem množství</t>
  </si>
  <si>
    <t>Přesun hmot pro pozemní komunikace s krytem dlážděným dopravní vzdálenost do 200 m jakékoliv délky objektu</t>
  </si>
  <si>
    <t>-641260669</t>
  </si>
  <si>
    <t>SO 102.II - Stavební úprava chodníku II. etapa</t>
  </si>
  <si>
    <t xml:space="preserve">    2 - Zakládání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</si>
  <si>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</si>
  <si>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412929371</t>
  </si>
  <si>
    <t>"stávající chodník" 409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</si>
  <si>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</si>
  <si>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-492180316</t>
  </si>
  <si>
    <t>Vytrhání obrub s vybouráním lože, s přemístěním hmot na skládku na vzdálenost do 3 m nebo s naložením na dopravní prostředek z krajníků nebo obrubníků stojatých</t>
  </si>
  <si>
    <t>-597637019</t>
  </si>
  <si>
    <t>"délka stávajícho obrubníku" 288</t>
  </si>
  <si>
    <t>-1136899405</t>
  </si>
  <si>
    <t>"plocha pláně*hloubka - sanace"409*0,3</t>
  </si>
  <si>
    <t>-1172319307</t>
  </si>
  <si>
    <t>"délka*šířka*hloubka vedení sděl. sítí"214*1*0,5</t>
  </si>
  <si>
    <t>"délka*šířka*hloubka vedení VN,NN"283*1*0,5</t>
  </si>
  <si>
    <t>"délka*šířka*hloubka vedení plynovod"142*1*0,5</t>
  </si>
  <si>
    <t>"délka*šířka*hloubka vedení VO"43*1*0,5</t>
  </si>
  <si>
    <t>-1570549909</t>
  </si>
  <si>
    <t>"výkop"122,7</t>
  </si>
  <si>
    <t>-151614850</t>
  </si>
  <si>
    <t>122,7*4 "Přepočtené koeficientem množství</t>
  </si>
  <si>
    <t>260681009</t>
  </si>
  <si>
    <t>122,7*2 "Přepočtené koeficientem množství</t>
  </si>
  <si>
    <t>-823143979</t>
  </si>
  <si>
    <t>-753898926</t>
  </si>
  <si>
    <t>"plocha pláně sanace"409</t>
  </si>
  <si>
    <t>Zakládání</t>
  </si>
  <si>
    <t>279311115</t>
  </si>
  <si>
    <t>Postupné podbetonování základového zdiva jakékoliv tloušťky, bez výkopu, bez zapažení a bednění, prostým betonem tř. C 20/25</t>
  </si>
  <si>
    <t>291443676</t>
  </si>
  <si>
    <t>https://podminky.urs.cz/item/CS_URS_2023_01/279311115</t>
  </si>
  <si>
    <t>Poznámka k položce:_x000D_
položka bude použita dle skutečnosti na stavbě</t>
  </si>
  <si>
    <t>1836733453</t>
  </si>
  <si>
    <t>"plocha pláně sanace" 409</t>
  </si>
  <si>
    <t>406599575</t>
  </si>
  <si>
    <t>"4%/1m2*výška*obj. hmotnost"409*0,3*2000/1000*0,04</t>
  </si>
  <si>
    <t>Podklad ze štěrkodrti ŠD s rozprostřením a zhutněním plochy přes 100 m2, po zhutnění tl. 250 mm</t>
  </si>
  <si>
    <t>-2068967953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</si>
  <si>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</si>
  <si>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1952006716</t>
  </si>
  <si>
    <t>"plocha chodníku"379,88+28,68</t>
  </si>
  <si>
    <t>-815092824</t>
  </si>
  <si>
    <t>"plocha chodníku" 56,17+21,43+17,51+11,5+8,53+7,46+10,96+52,49+18,91+18,95+70,54+81,1+1,26+0,87+0,76+1,44</t>
  </si>
  <si>
    <t>379,88*1,01 "Přepočtené koeficientem množství</t>
  </si>
  <si>
    <t>-1471417729</t>
  </si>
  <si>
    <t>"plocha chodníku"1,18+2,64+1,97+0,82+0,71+1,39+1,19+2,09+2,79+0,59+0,56+0,54</t>
  </si>
  <si>
    <t>0,89+1,68+0,87+1,92+0,66+1,33+0,62+0,62+1,18+0,56+1,26+0,62</t>
  </si>
  <si>
    <t>28,68*1,01 "Přepočtené koeficientem množství</t>
  </si>
  <si>
    <t>-481937749</t>
  </si>
  <si>
    <t>1519859409</t>
  </si>
  <si>
    <t>"délka obrubníku" 170,51+14,44</t>
  </si>
  <si>
    <t>-1008240672</t>
  </si>
  <si>
    <t>"délka obrubníku" 9,43+1,82+1,68+1,93+6,21+1,09+1,36+0,55+1+11,84+1,02+2,05+16,42+0,56+1,74+0,65+0,52+2,86+11,76+5,89+1,2+0,96+1,39+6,28*2+5,95*2</t>
  </si>
  <si>
    <t>"délka obrubníku" 1,5*2+1,2+5,12+3,2+0,98+6,31+6,68+0,89+1,5+5,04+2,11+1+8,11+8,29+1,39+1,5+2,71+1+2,09</t>
  </si>
  <si>
    <t>170,51*1,02 "Přepočtené koeficientem množství</t>
  </si>
  <si>
    <t>-1277883907</t>
  </si>
  <si>
    <t>"délka obrubníku R0,5" 0,47+0,86+0,78+0,79</t>
  </si>
  <si>
    <t>"délka obrubníku R1" 1,56+2,2+1,59+1,47+1,57+1,57+1,58</t>
  </si>
  <si>
    <t>14,44*1,02 "Přepočtené koeficientem množství</t>
  </si>
  <si>
    <t>Vodorovná doprava vybouraných hmot bez naložení, ale se složením a s hrubým urovnáním na vzdálenost do 1 km</t>
  </si>
  <si>
    <t>-256977819</t>
  </si>
  <si>
    <t>"odpad k recyklaci na deponii a zpět" (59,04+179,96)*2</t>
  </si>
  <si>
    <t>"dlažba na deponii" 104,295</t>
  </si>
  <si>
    <t>Nakládání na dopravní prostředky pro vodorovnou dopravu vybouraných hmot</t>
  </si>
  <si>
    <t>1327108066</t>
  </si>
  <si>
    <t>"odpad k recyklaci na deponii a zpět" (59,04+179,96)</t>
  </si>
  <si>
    <t>-1645512097</t>
  </si>
  <si>
    <t>Izolace proti zemní vlhkosti a beztlakové vodě nopovými fóliemi na ploše svislé S vrstva ochranná, odvětrávací a drenážní výška nopku 8,0 mm, tl. fólie do 0,6 mm</t>
  </si>
  <si>
    <t>1639461167</t>
  </si>
  <si>
    <t>"délka*výška u plotů" 90,5*0,4</t>
  </si>
  <si>
    <t>36,2*1,1 "Přepočtené koeficientem množství</t>
  </si>
  <si>
    <t>Přesun hmot pro izolace proti vodě, vlhkosti a plynům stanovený z hmotnosti přesunovaného materiálu vodorovná dopravní vzdálenost do 50 m v objektech výšky do 6 m</t>
  </si>
  <si>
    <t>-1291678399</t>
  </si>
  <si>
    <t>https://podminky.urs.cz/item/CS_URS_2023_01/998711101</t>
  </si>
  <si>
    <t>SO 103.II - Parkovací stání II. etapa</t>
  </si>
  <si>
    <t>Rozebrání dlažeb vozovek a ploch s přemístěním hmot na skládku na vzdálenost do 3 m nebo s naložením na dopravní prostředek, s jakoukoliv výplní spár strojně plochy jednotlivě přes 50 m2 do 200 m2 z drobných kostek nebo odseků s ložem ze živice</t>
  </si>
  <si>
    <t>664551715</t>
  </si>
  <si>
    <t>"stávající plocha komunikace" 100</t>
  </si>
  <si>
    <t>121151103</t>
  </si>
  <si>
    <t>Sejmutí ornice strojně při souvislé ploše do 100 m2, tl. vrstvy do 200 mm</t>
  </si>
  <si>
    <t>684286140</t>
  </si>
  <si>
    <t>https://podminky.urs.cz/item/CS_URS_2023_01/121151103</t>
  </si>
  <si>
    <t>"plocha stávající zeleně" 56,2</t>
  </si>
  <si>
    <t>Odkopávky a prokopávky nezapažené strojně v hornině třídy těžitelnosti I skupiny 1 a 2 přes 20 do 50 m3</t>
  </si>
  <si>
    <t>867169296</t>
  </si>
  <si>
    <t>"plocha park. stání* rozšíření 4%" 56,2*1,04*0,22</t>
  </si>
  <si>
    <t>"plocha park. stání* rozšíření 4% - sanace" 56,2*1,04*0,3</t>
  </si>
  <si>
    <t>2126462960</t>
  </si>
  <si>
    <t>"délka*šířka*hloubka vedení sděl. sítí"13*1*0,5</t>
  </si>
  <si>
    <t>"délka*šířka*hloubka vedení VN,NN"15*1*0,5</t>
  </si>
  <si>
    <t>"délka*šířka*hloubka vedení kanalizace"40*1*0,5</t>
  </si>
  <si>
    <t>Hloubení nezapažených rýh šířky do 800 mm strojně s urovnáním dna do předepsaného profilu a spádu v hornině třídy těžitelnosti II skupiny 4 do 20 m3</t>
  </si>
  <si>
    <t>90221257</t>
  </si>
  <si>
    <t>"délka obrubníku*šířka*hloubka" 156*0,35*0,2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</si>
  <si>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</si>
  <si>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</si>
  <si>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1237386257</t>
  </si>
  <si>
    <t>https://podminky.urs.cz/item/CS_URS_2023_01/162351104</t>
  </si>
  <si>
    <t>"ornice na deponii" 56,2*0,15</t>
  </si>
  <si>
    <t>1743626230</t>
  </si>
  <si>
    <t>"výkop"30,393</t>
  </si>
  <si>
    <t>-1864165237</t>
  </si>
  <si>
    <t>30,393*4 "Přepočtené koeficientem množství</t>
  </si>
  <si>
    <t>-867422262</t>
  </si>
  <si>
    <t>30,393*2 "Přepočtené koeficientem množství</t>
  </si>
  <si>
    <t>1882415144</t>
  </si>
  <si>
    <t>272696236</t>
  </si>
  <si>
    <t>"plocha pláně rozšířená" (56,2+100)*1,04</t>
  </si>
  <si>
    <t>313844030</t>
  </si>
  <si>
    <t>"plocha pláně sanace" 56,2*1,04</t>
  </si>
  <si>
    <t>1798997689</t>
  </si>
  <si>
    <t>"4%/1m2*výška*obj. hmotnost"56,2*0,3*2000/1000*0,04</t>
  </si>
  <si>
    <t>Recyklace podkladní vrstvy za studena na místě rozpojení a reprofilace podkladu s hutněním plochy do 1 000 m2, tloušťky přes 200 do 300 mm</t>
  </si>
  <si>
    <t>1010454127</t>
  </si>
  <si>
    <t>Recyklace podkladní vrstvy za studena na místě promísení rozpojené směsi s kamenivem a pojivem (materiál ve specifikaci) s rozhrnutím, zhutněním a vlhčením plochy do 1 000 m2, tloušťky po zhutnění přes 220 do 250 mm</t>
  </si>
  <si>
    <t>1256578884</t>
  </si>
  <si>
    <t>Recyklace podkladní vrstvy za studena na místě promísení rozpojené směsi s cementem a přísadami na bázi zeolitu a minerálů (materiál ve specifikaci) s rozhrnutím, zhutněním a vlhčením plochy do 1 000 m2, tloušťky po zhutnění do 250 mm</t>
  </si>
  <si>
    <t>-1154145212</t>
  </si>
  <si>
    <t>388524076</t>
  </si>
  <si>
    <t>155,98*25/1000</t>
  </si>
  <si>
    <t>-2122517881</t>
  </si>
  <si>
    <t>155,98*0,25*1,6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</si>
  <si>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100 do 300 m2</t>
  </si>
  <si>
    <t>798506136</t>
  </si>
  <si>
    <t>"plocha park. stání" 155,98</t>
  </si>
  <si>
    <t>608982082</t>
  </si>
  <si>
    <t>"plocha park. stání" 25,67+56,19+37,19+36,93</t>
  </si>
  <si>
    <t>155,98*1,02 "Přepočtené koeficientem množství</t>
  </si>
  <si>
    <t>Montáž svislé dopravní značky základní velikosti do 1 m2 objímkami na sloupky nebo konzoly</t>
  </si>
  <si>
    <t>104779103</t>
  </si>
  <si>
    <t>"nové" 2</t>
  </si>
  <si>
    <t>40445625</t>
  </si>
  <si>
    <t>informativní značky provozní IP8, IP9, IP11-IP13 500x700mm</t>
  </si>
  <si>
    <t>-1579962945</t>
  </si>
  <si>
    <t>"IP12"1</t>
  </si>
  <si>
    <t>40445647</t>
  </si>
  <si>
    <t>dodatkové tabulky E1, E2a,b , E6, E9, E10 E12c, E17 500x500mm</t>
  </si>
  <si>
    <t>-1677644463</t>
  </si>
  <si>
    <t>"E1" 1</t>
  </si>
  <si>
    <t>Montáž sloupku dopravních značek délky do 3,5 m do hliníkové patky pro sloupek D 70 mm</t>
  </si>
  <si>
    <t>-1414190038</t>
  </si>
  <si>
    <t>368903266</t>
  </si>
  <si>
    <t>-1794189863</t>
  </si>
  <si>
    <t>915131111</t>
  </si>
  <si>
    <t>Vodorovné dopravní značení stříkané barvou přechody pro chodce, šipky, symboly bílé základní</t>
  </si>
  <si>
    <t>1265411210</t>
  </si>
  <si>
    <t>https://podminky.urs.cz/item/CS_URS_2023_01/915131111</t>
  </si>
  <si>
    <t>"V10f"1,25*2</t>
  </si>
  <si>
    <t>"V13a"7,32</t>
  </si>
  <si>
    <t>Vodorovné dopravní značení stříkaným plastem dělící čára šířky 125 mm souvislá bílá základní</t>
  </si>
  <si>
    <t>-138044235</t>
  </si>
  <si>
    <t>"V10a"2*5+4,5*2+5*2</t>
  </si>
  <si>
    <t>Předznačení pro vodorovné značení stříkané barvou nebo prováděné z nátěrových hmot liniové dělicí čáry, vodicí proužky</t>
  </si>
  <si>
    <t>-289882832</t>
  </si>
  <si>
    <t>Předznačení pro vodorovné značení stříkané barvou nebo prováděné z nátěrových hmot plošné šipky, symboly, nápisy</t>
  </si>
  <si>
    <t>1348421197</t>
  </si>
  <si>
    <t>Osazení silničního obrubníku betonového se zřízením lože, s vyplněním a zatřením spár cementovou maltou stojatého s boční opěrou z betonu prostého, do lože z betonu prostého</t>
  </si>
  <si>
    <t>-1005423942</t>
  </si>
  <si>
    <t>"délka obrubníku" 73,48+10,09+75,43+1,07</t>
  </si>
  <si>
    <t>164176242</t>
  </si>
  <si>
    <t>"délka obrubníku"1,2+13,74+1,19+6,99+0,5+5,25+3,64+1,06+19,5+1,07+1+17,34+1</t>
  </si>
  <si>
    <t>73,48*1,02 "Přepočtené koeficientem množství</t>
  </si>
  <si>
    <t>-843771003</t>
  </si>
  <si>
    <t>"délka obrubníku R0,5" 1,58</t>
  </si>
  <si>
    <t>"délka obrubníku R1"1,38*4+1,62+1,37</t>
  </si>
  <si>
    <t>10,09*1,02 "Přepočtené koeficientem množství</t>
  </si>
  <si>
    <t>1419863534</t>
  </si>
  <si>
    <t>"délka obrubníku"4+15,28+13,35+21,39+21,41</t>
  </si>
  <si>
    <t>75,43*1,02 "Přepočtené koeficientem množství</t>
  </si>
  <si>
    <t>-575519532</t>
  </si>
  <si>
    <t>"délka obrubníku R1"1,07</t>
  </si>
  <si>
    <t>1,07*1,02 "Přepočtené koeficientem množství</t>
  </si>
  <si>
    <t>Čištění vozovek splachováním vodou povrchu podkladu nebo krytu živičného, betonového nebo dlážděného</t>
  </si>
  <si>
    <t>-177358839</t>
  </si>
  <si>
    <t>Čištění vozovek metením bláta, prachu nebo hlinitého nánosu s odklizením na hromady na vzdálenost do 20 m nebo naložením na dopravní prostředek strojně povrchu podkladu nebo krytu betonového nebo živičného</t>
  </si>
  <si>
    <t>1697159080</t>
  </si>
  <si>
    <t>115766945</t>
  </si>
  <si>
    <t>"dlažba uložená na deponii "38,8</t>
  </si>
  <si>
    <t>574711738</t>
  </si>
  <si>
    <t>SO 104.II - Místní komunikace MO2 10/5,5/30 II. etapa</t>
  </si>
  <si>
    <t>-1369998596</t>
  </si>
  <si>
    <t>"plocha" 64,15</t>
  </si>
  <si>
    <t>Hloubení nezapažených rýh šířky do 800 mm strojně s urovnáním dna do předepsaného profilu a spádu v hornině třídy těžitelnosti II skupiny 4 přes 20 do 50 m3</t>
  </si>
  <si>
    <t>-478976444</t>
  </si>
  <si>
    <t>"délka obrubníku*šířka*hloubka" 405,9*0,35*0,2</t>
  </si>
  <si>
    <t>149081125</t>
  </si>
  <si>
    <t>"ornice na deponii" 64,15*0,15</t>
  </si>
  <si>
    <t>1289154059</t>
  </si>
  <si>
    <t>"plocha pláně" 1163,4*1,10</t>
  </si>
  <si>
    <t>Recyklace podkladní vrstvy za studena na místě rozpojení a reprofilace podkladu s hutněním plochy přes 1 000 do 3 000 m2, tloušťky přes 200 do 300 mm</t>
  </si>
  <si>
    <t>-1568374265</t>
  </si>
  <si>
    <t>Recyklace podkladní vrstvy za studena na místě promísení rozpojené směsi s kamenivem a pojivem (materiál ve specifikaci) s rozhrnutím, zhutněním a vlhčením plochy přes 1 000 do 3 000 m2, tloušťky po zhutnění přes 220 do 250 mm</t>
  </si>
  <si>
    <t>1751739455</t>
  </si>
  <si>
    <t>Recyklace podkladní vrstvy za studena na místě promísení rozpojené směsi s cementem a přísadami na bázi zeolitu a minerálů (materiál ve specifikaci) s rozhrnutím, zhutněním a vlhčením plochy přes 1 000 do 3 000 m2, tloušťky po zhutnění do 250 mm</t>
  </si>
  <si>
    <t>-2131140036</t>
  </si>
  <si>
    <t>-1128022062</t>
  </si>
  <si>
    <t>1279,74*25/1000</t>
  </si>
  <si>
    <t>1195973942</t>
  </si>
  <si>
    <t>1279,74*0,25*1,6</t>
  </si>
  <si>
    <t>Postřik infiltrační PI z asfaltu silničního s posypem kamenivem, v množství 1,50 kg/m2</t>
  </si>
  <si>
    <t>1699112782</t>
  </si>
  <si>
    <t>"plocha komunikace" 114,28+16,07+214,51+79,28+232,54+119,96-34,15</t>
  </si>
  <si>
    <t>"plocha komunikace" 110,67+69,49+119,19+79,05+42,51</t>
  </si>
  <si>
    <t>Asfaltový beton vrstva obrusná ACO 11 (ABS) s rozprostřením a se zhutněním z nemodifikovaného asfaltu v pruhu šířky do 3 m tř. I, po zhutnění tl. 50 mm</t>
  </si>
  <si>
    <t>631146620</t>
  </si>
  <si>
    <t>-1192410019</t>
  </si>
  <si>
    <t>616588458</t>
  </si>
  <si>
    <t>-1979652958</t>
  </si>
  <si>
    <t>-1376791817</t>
  </si>
  <si>
    <t>1837628820</t>
  </si>
  <si>
    <t>-1311628811</t>
  </si>
  <si>
    <t>"délka obrubníku" 114,2+54,16+171,67+18,95+34</t>
  </si>
  <si>
    <t>-1510149798</t>
  </si>
  <si>
    <t>"délka obrubníku"1,68+4,06+1,93+2,63+9,27+1,24+2,41+0,78+12,55+4,67+5,8</t>
  </si>
  <si>
    <t>"délka obrubníku"1,66+19,66+4,58+5,29+1,23+6,63+8,02+2,13+13,31+4,67</t>
  </si>
  <si>
    <t>114,2*1,02 "Přepočtené koeficientem množství</t>
  </si>
  <si>
    <t>1858784124</t>
  </si>
  <si>
    <t>"délka obrubníku R4" 3,98+3,79+4,05+3,5+3,51</t>
  </si>
  <si>
    <t>"délka obrubníku R5" 3,86+3,59</t>
  </si>
  <si>
    <t>"délka obrubníku R6" 5,45+2,86+1,3+2,85</t>
  </si>
  <si>
    <t>"délka obrubníku R11,5" 5,39+5,63+4,4</t>
  </si>
  <si>
    <t>54,16*1,02 "Přepočtené koeficientem množství</t>
  </si>
  <si>
    <t>1728451448</t>
  </si>
  <si>
    <t>"délka obrubníku"3+5+5,56+5,54+5,69+2,6+1,66+5,54+37,33+1,5+6,95+1,42+5,5*8</t>
  </si>
  <si>
    <t>"délka obrubníku"3+7,1+7,64+10,16+1,82+7,14+1,5+3,12+1,5+2,9</t>
  </si>
  <si>
    <t>171,67*1,02 "Přepočtené koeficientem množství</t>
  </si>
  <si>
    <t>-1686170290</t>
  </si>
  <si>
    <t>"délka obrubníku R2"1,87+3,25</t>
  </si>
  <si>
    <t>"délka obrubníku R4"1,94+1,64*2+1,62</t>
  </si>
  <si>
    <t>"délka obrubníku R5"2,12+1,83</t>
  </si>
  <si>
    <t>"délka obrubníku R6"3,04</t>
  </si>
  <si>
    <t>18,95*1,02 "Přepočtené koeficientem množství</t>
  </si>
  <si>
    <t>1301811965</t>
  </si>
  <si>
    <t>"délka obrubníku" 16+18</t>
  </si>
  <si>
    <t>34*1,02 "Přepočtené koeficientem množství</t>
  </si>
  <si>
    <t>293390716</t>
  </si>
  <si>
    <t>-1460638217</t>
  </si>
  <si>
    <t>Odstranění dopravních nebo orientačních značek se sloupkem s uložením hmot na vzdálenost do 20 m nebo s naložením na dopravní prostředek, se zásypem jam a jeho zhutněním s betonovou patkou</t>
  </si>
  <si>
    <t>2145897262</t>
  </si>
  <si>
    <t>"P2"3</t>
  </si>
  <si>
    <t>"P4"2</t>
  </si>
  <si>
    <t>"IP25a-30"1</t>
  </si>
  <si>
    <t>"IP25b-30"1</t>
  </si>
  <si>
    <t>Vodorovná doprava vybouraných hmot bez naložení, ale se složením a s hrubým urovnáním na vzdálenost Příplatek k ceně za každý další i započatý 1 km přes 1 km</t>
  </si>
  <si>
    <t>-1990874832</t>
  </si>
  <si>
    <t>667356599</t>
  </si>
  <si>
    <t>"odpady na skládku"13,17+26,34+0,574</t>
  </si>
  <si>
    <t>40,084*13 "Přepočtené koeficientem množství</t>
  </si>
  <si>
    <t>Poplatek za uložení stavebního odpadu na skládce (skládkovné) směsného stavebního a demoličního zatříděného do Katalogu odpadů pod kódem 17 09 04</t>
  </si>
  <si>
    <t>59902910</t>
  </si>
  <si>
    <t>Přesun hmot pro komunikace s krytem z kameniva, monolitickým betonovým nebo živičným dopravní vzdálenost do 200 m jakékoliv délky objektu</t>
  </si>
  <si>
    <t>-166296301</t>
  </si>
  <si>
    <t>SO 105.II - Místa pro přecházení II. etapa</t>
  </si>
  <si>
    <t>Vodorovné značení předformovaným termoplastem vodící pás pro slabozraké z 6 proužků</t>
  </si>
  <si>
    <t>-923291838</t>
  </si>
  <si>
    <t>https://podminky.urs.cz/item/CS_URS_2023_01/915321115</t>
  </si>
  <si>
    <t>"délka vod. proužků" 5,5*4+5,52*4</t>
  </si>
  <si>
    <t>-454101070</t>
  </si>
  <si>
    <t>-1033250703</t>
  </si>
  <si>
    <t>"plocha" 5,5*0,6*2</t>
  </si>
  <si>
    <t>Přesun hmot ruční pro pozemní komunikace s naložením a složením na vzdálenost do 50 m, s krytem z kameniva, monolitickým betonovým nebo živičným</t>
  </si>
  <si>
    <t>-61995692</t>
  </si>
  <si>
    <t>https://podminky.urs.cz/item/CS_URS_2023_01/998229111</t>
  </si>
  <si>
    <t>SO 106.II - Sjezdy II. etapa</t>
  </si>
  <si>
    <t>-1408689307</t>
  </si>
  <si>
    <t>"stávající komunikace"147,2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</si>
  <si>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</si>
  <si>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-830996470</t>
  </si>
  <si>
    <t>249851905</t>
  </si>
  <si>
    <t>"délka*šířka*hloubka vedení sděl. sítí"34*1*0,5</t>
  </si>
  <si>
    <t>"délka*šířka*hloubka vedení VN,NN"57*1*0,5</t>
  </si>
  <si>
    <t>"délka*šířka*hloubka vedení plynovod"19*1*0,5</t>
  </si>
  <si>
    <t>-989876398</t>
  </si>
  <si>
    <t>"plocha pláně sanace" 163,5</t>
  </si>
  <si>
    <t>-1548961801</t>
  </si>
  <si>
    <t>1556961855</t>
  </si>
  <si>
    <t>"4%/1m2*výška*obj. hmotnost" 163,5*0,04*0,3*0,0033</t>
  </si>
  <si>
    <t>-704337179</t>
  </si>
  <si>
    <t>"plocha pláně sanace"163,5</t>
  </si>
  <si>
    <t>-880025972</t>
  </si>
  <si>
    <t>"plocha sjezdu"148,56+12,28+2,66</t>
  </si>
  <si>
    <t>-1576108252</t>
  </si>
  <si>
    <t>"plocha sjezdu"23,84+27,41+30,59+16,68+18,46+5,43+6,18+5,04+14,93</t>
  </si>
  <si>
    <t>148,56*1,02 "Přepočtené koeficientem množství</t>
  </si>
  <si>
    <t>-1785806666</t>
  </si>
  <si>
    <t>"plocha sjezdu"3,18+3,4+2,49+3,21</t>
  </si>
  <si>
    <t>12,28*1,02 "Přepočtené koeficientem množství</t>
  </si>
  <si>
    <t>VL8C02</t>
  </si>
  <si>
    <t>betonová dlažba - vodící linie, výška  8 cm, červená</t>
  </si>
  <si>
    <t>-909039488</t>
  </si>
  <si>
    <t>"plocha sjezdu"2,66</t>
  </si>
  <si>
    <t>2,66*1,02 "Přepočtené koeficientem množství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</si>
  <si>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Příplatek k cenám za dlažbu z prvků dvou barev</t>
  </si>
  <si>
    <t>-957077213</t>
  </si>
  <si>
    <t>-13299604</t>
  </si>
  <si>
    <t>"délka obrubníku" 39,73+25,34+49,58+6</t>
  </si>
  <si>
    <t>308316427</t>
  </si>
  <si>
    <t>"délka obrubníku"4,02+4,27+4,25+4,29+4,31+4,05+4,07+2,95+4,27+3,25</t>
  </si>
  <si>
    <t>39,73*1,02 "Přepočtené koeficientem množství</t>
  </si>
  <si>
    <t>195631286</t>
  </si>
  <si>
    <t>"délka obrubníku R2" 2,96+2,97+1,94+1,97+1,95*3+2,96</t>
  </si>
  <si>
    <t>"délka obrubníku R3" 3,65+3,04</t>
  </si>
  <si>
    <t>25,34*1,02 "Přepočtené koeficientem množství</t>
  </si>
  <si>
    <t>2004496451</t>
  </si>
  <si>
    <t>"délka obrubníku"3,19+3,39+4,33+5+2,74+2,95+4,49+4,72+3,34+10,69+4,74</t>
  </si>
  <si>
    <t>49,58*1,02 "Přepočtené koeficientem množství</t>
  </si>
  <si>
    <t>2047841434</t>
  </si>
  <si>
    <t>"délka obrubníku"6</t>
  </si>
  <si>
    <t>6*1,02 "Přepočtené koeficientem množství</t>
  </si>
  <si>
    <t>-781632165</t>
  </si>
  <si>
    <t>"odpad k recyklaci na deponii a zpět" 64,77*2</t>
  </si>
  <si>
    <t>"dlažba na deponii" 37,54</t>
  </si>
  <si>
    <t>1019056369</t>
  </si>
  <si>
    <t>"odpad k recyklaci na deponii a zpět" 64,77</t>
  </si>
  <si>
    <t>276834333</t>
  </si>
  <si>
    <t>SO 303.II - Odvodnění komunikace II. etapa</t>
  </si>
  <si>
    <t xml:space="preserve">    VRN5 - Finanční náklady</t>
  </si>
  <si>
    <t>Odstranění podkladů nebo krytů při překopech inženýrských sítí s přemístěním hmot na skládku ve vzdálenosti do 3 m nebo s naložením na dopravní prostředek strojně plochy jednotlivě přes 15 m2 z kameniva hrubého drceného se štětem, o tl. vrstvy přes 250 do 450 mm</t>
  </si>
  <si>
    <t>1648772776</t>
  </si>
  <si>
    <t>"rýhy" (193,7+2)*1,3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</si>
  <si>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</si>
  <si>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</si>
  <si>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500734305</t>
  </si>
  <si>
    <t>https://podminky.urs.cz/item/CS_URS_2023_01/113107542</t>
  </si>
  <si>
    <t>Čerpání vody na dopravní výšku do 10 m s uvažovaným průměrným přítokem přes 500 do 1 000 l/min</t>
  </si>
  <si>
    <t>1068255529</t>
  </si>
  <si>
    <t>https://podminky.urs.cz/item/CS_URS_2023_01/115101202</t>
  </si>
  <si>
    <t>Pohotovost záložní čerpací soupravy pro dopravní výšku do 10 m s uvažovaným průměrným přítokem přes 500 do 1 000 l/min</t>
  </si>
  <si>
    <t>821453910</t>
  </si>
  <si>
    <t>https://podminky.urs.cz/item/CS_URS_2023_01/115101302</t>
  </si>
  <si>
    <t>-1643171621</t>
  </si>
  <si>
    <t xml:space="preserve">"křížení sítí délka*šířka*houbka"(26*1,3)*1*0,5 </t>
  </si>
  <si>
    <t>Hloubení nezapažených jam a zářezů strojně s urovnáním dna do předepsaného profilu a spádu v hornině třídy těžitelnosti I skupiny 1 a 2 přes 20 do 50 m3</t>
  </si>
  <si>
    <t>1478881771</t>
  </si>
  <si>
    <t>Poznámka k položce:_x000D_
šířka výkopu šachet 1,6*1,6 m - 80% dohloubky  2 m, 0,65x0,65m, ostatní v rámci výkopu rýhy_x000D_
šířka výkopu UV 0,85*0,85 m
0,65x0,65m, ostatní v rámci výkopu rýhy</t>
  </si>
  <si>
    <t>"šachty" 1,6*1,6*(10,6+5*0,5)*0,8</t>
  </si>
  <si>
    <t>"UV" 0,85*0,85*1,74*3+0,8*0,5*0,75*7</t>
  </si>
  <si>
    <t>Hloubení nezapažených jam a zářezů strojně s urovnáním dna do předepsaného profilu a spádu v hornině třídy těžitelnosti I skupiny 3 do 20 m3</t>
  </si>
  <si>
    <t>-1955476392</t>
  </si>
  <si>
    <t>"šachty"1,6*1,6*(10,6+4*0,5)*0,2</t>
  </si>
  <si>
    <t>132154205</t>
  </si>
  <si>
    <t>Hloubení zapažených rýh šířky přes 800 do 2 000 mm strojně s urovnáním dna do předepsaného profilu a spádu v hornině třídy těžitelnosti I skupiny 1 a 2 přes 500 do 1 000 m3</t>
  </si>
  <si>
    <t>396136548</t>
  </si>
  <si>
    <t>https://podminky.urs.cz/item/CS_URS_2023_01/132154205</t>
  </si>
  <si>
    <t>"vedení kanalizač. vedení průř. plocha*hloubka" 361,3*1,3-(1,6*1,6*(10,6+5*0,5)*0,8)</t>
  </si>
  <si>
    <t>"vedení přípojky UV a svodů průř. plocha*hloubka" 0,9*(2,6-0,3)*(52,6+67,2)</t>
  </si>
  <si>
    <t>132254204</t>
  </si>
  <si>
    <t>Hloubení zapažených rýh šířky přes 800 do 2 000 mm strojně s urovnáním dna do předepsaného profilu a spádu v hornině třídy těžitelnosti I skupiny 3 přes 100 do 500 m3</t>
  </si>
  <si>
    <t>1578923291</t>
  </si>
  <si>
    <t>https://podminky.urs.cz/item/CS_URS_2023_01/132254204</t>
  </si>
  <si>
    <t>Poznámka k položce:_x000D_
od 2 m hloubky</t>
  </si>
  <si>
    <t>"vedení kanalizač. vedení průř. plocha*hloubka" 160,2*1,3-6</t>
  </si>
  <si>
    <t>"vedení přípojky UV a svodů průř. plocha*hloubka" 5,8*0,9</t>
  </si>
  <si>
    <t>Zřízení pažicích boxů pro pažení a rozepření stěn rýh podzemního vedení hloubka výkopu do 4 m, šířka do 1,2 m</t>
  </si>
  <si>
    <t>-1530481026</t>
  </si>
  <si>
    <t>Poznámka k položce:_x000D_
vše v pažení (plocha z PP*2)</t>
  </si>
  <si>
    <t>"plocha z PP*2" (561,7-62)*2+2,5*(52,6+67,2)*2</t>
  </si>
  <si>
    <t>Zřízení pažicích boxů pro pažení a rozepření stěn rýh podzemního vedení hloubka výkopu přes 4 do 6 m, šířka do 1,2 m</t>
  </si>
  <si>
    <t>-750699863</t>
  </si>
  <si>
    <t>-1624829743</t>
  </si>
  <si>
    <t>"zemina výkopu" 32,7+6,45+690,85+207,48</t>
  </si>
  <si>
    <t>-855507199</t>
  </si>
  <si>
    <t>Poznámka k položce:_x000D_
uložení na skládku Benátky nad Jizerou (27 km)</t>
  </si>
  <si>
    <t>937,48*17 "Přepočtené koeficientem množství</t>
  </si>
  <si>
    <t>-1031352927</t>
  </si>
  <si>
    <t>937,48*2 "Přepočtené koeficientem množství</t>
  </si>
  <si>
    <t>Zásyp sypaninou z jakékoliv horniny při překopech inženýrských sítí strojně objemu do 30 m3 s uložením výkopku ve vrstvách se zhutněním jam, šachet, rýh nebo kolem objektů v těchto vykopávkách</t>
  </si>
  <si>
    <t>-229564154</t>
  </si>
  <si>
    <t>https://podminky.urs.cz/item/CS_URS_2023_01/174152101</t>
  </si>
  <si>
    <t>"zemina výkopu vedení"690,85+207,48</t>
  </si>
  <si>
    <t>"-podklady a obsypy"- (58+167,02)</t>
  </si>
  <si>
    <t>"-vedení"-(3,14*0,25*0,25*193,7+3,14*0,075*0,75*119,8)</t>
  </si>
  <si>
    <t>"zemina výkopu jam"32,7+6,451</t>
  </si>
  <si>
    <t>"-podklad" -1,68</t>
  </si>
  <si>
    <t>"ŠD šířka*délka*hloubka"-(3,14*0,62*0,62*12,35*4)-26,13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</si>
  <si>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</si>
  <si>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1700878279</t>
  </si>
  <si>
    <t>https://podminky.urs.cz/item/CS_URS_2023_01/175151101</t>
  </si>
  <si>
    <t>"vedení kanalizační přípojky DN 150 délka*průř. plocha" (52,6+67,2)*0,23</t>
  </si>
  <si>
    <t>"vedení kanalizač. vedení DN 500 délka*průř. plocha" 193,7*0,72</t>
  </si>
  <si>
    <t>1095484337</t>
  </si>
  <si>
    <t>167,018*1,8 "Přepočtené koeficientem množství</t>
  </si>
  <si>
    <t>Lože pod potrubí, stoky a drobné objekty v otevřeném výkopu z kameniva drobného těženého 0 až 4 mm</t>
  </si>
  <si>
    <t>307592382</t>
  </si>
  <si>
    <t>https://podminky.urs.cz/item/CS_URS_2023_01/451572111</t>
  </si>
  <si>
    <t>"vedení kanalizační přípojky DN 150 délka*průř. plocha" (52,6+67,2)*0,08</t>
  </si>
  <si>
    <t>"vedení kanalizač. vedení DN 500 délka*průř. plocha" 193,7*0,25</t>
  </si>
  <si>
    <t>Podkladní a zajišťovací konstrukce z betonu prostého v otevřeném výkopu bez zvýšených nároků na prostředí desky pod potrubí, stoky a drobné objekty z betonu tř. C 12/15</t>
  </si>
  <si>
    <t>-1311150072</t>
  </si>
  <si>
    <t>"šachty" 3,14*0,73*0,73*0,2*4</t>
  </si>
  <si>
    <t>"UV" 0,75*0,75*0,2*3</t>
  </si>
  <si>
    <t>452311151</t>
  </si>
  <si>
    <t>Podkladní a zajišťovací konstrukce z betonu prostého v otevřeném výkopu bez zvýšených nároků na prostředí desky pod potrubí, stoky a drobné objekty z betonu tř. C 20/25</t>
  </si>
  <si>
    <t>-1768378913</t>
  </si>
  <si>
    <t>https://podminky.urs.cz/item/CS_URS_2023_01/452311151</t>
  </si>
  <si>
    <t>"LV" 17*0,15</t>
  </si>
  <si>
    <t>Podkladní a vyrovnávací konstrukce z betonu vyrovnávací prstence z prostého betonu tř. C 25/30 pod poklopy a mříže, výšky do 100 mm</t>
  </si>
  <si>
    <t>-571570570</t>
  </si>
  <si>
    <t>Poznámka k položce:_x000D_
sklon 2,5%, jednokomponentní malta s vysokou počáteční pevností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</si>
  <si>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</si>
  <si>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</si>
  <si>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-1227427419</t>
  </si>
  <si>
    <t>https://podminky.urs.cz/item/CS_URS_2023_01/591241111</t>
  </si>
  <si>
    <t>"dláždění dna šachet" (3,14*0,5*0,5)*12</t>
  </si>
  <si>
    <t>"dláždění poklop šachet" 4*((3,14*0,65*0,65)-(3,14*0,4*0,4))</t>
  </si>
  <si>
    <t>58381007</t>
  </si>
  <si>
    <t>kostka štípaná dlažební žula drobná 8/10</t>
  </si>
  <si>
    <t>425900880</t>
  </si>
  <si>
    <t>3,297*1,03 "Přepočtené koeficientem množství</t>
  </si>
  <si>
    <t>63232611</t>
  </si>
  <si>
    <t>dlaždice z taveného čediče průmyslové jemný rastr 250x125x30mm</t>
  </si>
  <si>
    <t>-533839014</t>
  </si>
  <si>
    <t>830361811</t>
  </si>
  <si>
    <t>Bourání stávajícího potrubí z kameninových trub v otevřeném výkopu DN přes 150 do 250</t>
  </si>
  <si>
    <t>848670900</t>
  </si>
  <si>
    <t>https://podminky.urs.cz/item/CS_URS_2023_01/830361811</t>
  </si>
  <si>
    <t>Montáž kanalizačního potrubí z plastů z polypropylenu PP hladkého plnostěnného SN 10 DN 150</t>
  </si>
  <si>
    <t>-1601282537</t>
  </si>
  <si>
    <t>"délka přípojek" 17+35,66+6*6,5+3*9,4</t>
  </si>
  <si>
    <t>-170467449</t>
  </si>
  <si>
    <t>119,86*1,3 "Přepočtené koeficientem množství</t>
  </si>
  <si>
    <t>Montáž kanalizačního potrubí z plastů z polypropylenu PP hladkého plnostěnného SN 10 DN 500</t>
  </si>
  <si>
    <t>-942756076</t>
  </si>
  <si>
    <t>"vedení kanal. větec C1 délka" 235,09-(35,1+6,3)</t>
  </si>
  <si>
    <t>-218609923</t>
  </si>
  <si>
    <t>193,69*1,015 "Přepočtené koeficientem množství</t>
  </si>
  <si>
    <t>Montáž tvarovek na kanalizačním plastovém potrubí z polypropylenu PP hladkého plnostěnného kolen DN 150</t>
  </si>
  <si>
    <t>-728533834</t>
  </si>
  <si>
    <t>https://podminky.urs.cz/item/CS_URS_2023_01/877310310</t>
  </si>
  <si>
    <t>-2051856039</t>
  </si>
  <si>
    <t>Poznámka k položce:_x000D_
v horizontálním směru - 2 ks_x000D_
ve vertikálním směru - 19 ks</t>
  </si>
  <si>
    <t>1713299536</t>
  </si>
  <si>
    <t>Montáž tvarovek na kanalizačním plastovém potrubí z polypropylenu PP hladkého plnostěnného odboček DN 150</t>
  </si>
  <si>
    <t>-252843535</t>
  </si>
  <si>
    <t>-74608429</t>
  </si>
  <si>
    <t>Poznámka k položce:_x000D_
sedlová odbočka 500/150 45 st, přípojky UV + svody</t>
  </si>
  <si>
    <t>Montáž tvarovek na kanalizačním plastovém potrubí z polypropylenu PP hladkého plnostěnného spojek nebo redukcí DN 500</t>
  </si>
  <si>
    <t>1615798048</t>
  </si>
  <si>
    <t>28611598</t>
  </si>
  <si>
    <t>zátka kanalizace plastové KG DN 500</t>
  </si>
  <si>
    <t>-2002672704</t>
  </si>
  <si>
    <t>Poznámka k položce:_x000D_
pro ŠD8</t>
  </si>
  <si>
    <t>Tlakové zkoušky vodou na potrubí DN 150 nebo 200</t>
  </si>
  <si>
    <t>-562927709</t>
  </si>
  <si>
    <t>Tlakové zkoušky vodou na potrubí DN 400 nebo 500</t>
  </si>
  <si>
    <t>-182438512</t>
  </si>
  <si>
    <t>Osazení betonových dílců šachet kanalizačních dno DN 1000, výšky 1000 mm</t>
  </si>
  <si>
    <t>-1601495026</t>
  </si>
  <si>
    <t>932592685</t>
  </si>
  <si>
    <t>Osazení betonových dílců šachet kanalizačních skruž rovná DN 1000, výšky 250 mm</t>
  </si>
  <si>
    <t>946670172</t>
  </si>
  <si>
    <t>-1006989483</t>
  </si>
  <si>
    <t>Osazení betonových dílců šachet kanalizačních skruž rovná DN 1000, výšky 500 mm</t>
  </si>
  <si>
    <t>-1916583220</t>
  </si>
  <si>
    <t>-186886973</t>
  </si>
  <si>
    <t>-320286961</t>
  </si>
  <si>
    <t>-1901218817</t>
  </si>
  <si>
    <t>59224012</t>
  </si>
  <si>
    <t>prstenec šachtový vyrovnávací betonový 625x100x80mm</t>
  </si>
  <si>
    <t>-869460388</t>
  </si>
  <si>
    <t>-78525529</t>
  </si>
  <si>
    <t>Osazení betonových dílců šachet kanalizačních skruž přechodová (konus) DN 1000</t>
  </si>
  <si>
    <t>1421455326</t>
  </si>
  <si>
    <t>1331479719</t>
  </si>
  <si>
    <t>Osazení vpusti uliční z betonových dílců DN 450 dno s kalištěm</t>
  </si>
  <si>
    <t>-1228307965</t>
  </si>
  <si>
    <t>601744246</t>
  </si>
  <si>
    <t>Osazení vpusti uliční z betonových dílců DN 450 skruž horní 570 mm</t>
  </si>
  <si>
    <t>-2085488799</t>
  </si>
  <si>
    <t>-1229897626</t>
  </si>
  <si>
    <t>555651851</t>
  </si>
  <si>
    <t>Osazení vpusti uliční z betonových dílců DN 450 skruž průběžná s výtokem</t>
  </si>
  <si>
    <t>-1072820246</t>
  </si>
  <si>
    <t>1137994029</t>
  </si>
  <si>
    <t>Osazení poklopů litinových a ocelových včetně rámů pro třídu zatížení D400, E600</t>
  </si>
  <si>
    <t>-246287971</t>
  </si>
  <si>
    <t>https://podminky.urs.cz/item/CS_URS_2023_01/899104112</t>
  </si>
  <si>
    <t>-1000166944</t>
  </si>
  <si>
    <t>1473174125</t>
  </si>
  <si>
    <t>457064941</t>
  </si>
  <si>
    <t>https://podminky.urs.cz/item/CS_URS_2023_01/899204112</t>
  </si>
  <si>
    <t>1781364406</t>
  </si>
  <si>
    <t>784560116</t>
  </si>
  <si>
    <t>899721111</t>
  </si>
  <si>
    <t>Signalizační vodič na potrubí DN do 150 mm</t>
  </si>
  <si>
    <t>-274125640</t>
  </si>
  <si>
    <t>https://podminky.urs.cz/item/CS_URS_2023_01/899721111</t>
  </si>
  <si>
    <t>490,76*1,1 "Přepočtené koeficientem množství</t>
  </si>
  <si>
    <t>899722113</t>
  </si>
  <si>
    <t>Krytí potrubí z plastů výstražnou fólií z PVC šířky 34 cm</t>
  </si>
  <si>
    <t>-1001895649</t>
  </si>
  <si>
    <t>https://podminky.urs.cz/item/CS_URS_2023_01/899722113</t>
  </si>
  <si>
    <t>Řezání stávajícího živičného krytu nebo podkladu hloubky do 50 mm</t>
  </si>
  <si>
    <t>693941542</t>
  </si>
  <si>
    <t>"vedení" 193,7*2+2*1,3</t>
  </si>
  <si>
    <t>"šachty" 4*1,6*2</t>
  </si>
  <si>
    <t>935113112</t>
  </si>
  <si>
    <t>Osazení odvodňovacího žlabu s krycím roštem polymerbetonového šířky přes 200 mm</t>
  </si>
  <si>
    <t>-532183637</t>
  </si>
  <si>
    <t>https://podminky.urs.cz/item/CS_URS_2023_01/935113112</t>
  </si>
  <si>
    <t>59227114</t>
  </si>
  <si>
    <t>žlab odvodňovací s roštem bez spádu dna monolitický z polymerbetonu š 150mm</t>
  </si>
  <si>
    <t>-1097783034</t>
  </si>
  <si>
    <t>935113212</t>
  </si>
  <si>
    <t>Osazení odvodňovacího žlabu s krycím roštem betonového šířky přes 200 mm</t>
  </si>
  <si>
    <t>453531078</t>
  </si>
  <si>
    <t>https://podminky.urs.cz/item/CS_URS_2023_01/935113212</t>
  </si>
  <si>
    <t>BNF.401457</t>
  </si>
  <si>
    <t>Žlab štěrbinový PP kompozit 150 NW150 s krytem ASYMETRICKÝM POZINK tř.D400 dl.1000mm</t>
  </si>
  <si>
    <t>-1620888178</t>
  </si>
  <si>
    <t>BNF.402476</t>
  </si>
  <si>
    <t>Vpust PP kompozit 150 NW150 s revizním nástavcem ASYMETRICKÝM POZINK tř.C250 dl.500mm</t>
  </si>
  <si>
    <t>616613805</t>
  </si>
  <si>
    <t>Osazení odvodňovacího žlabu s krycím roštem vpusti pro žlab šířky přes 200 mm</t>
  </si>
  <si>
    <t>1451182970</t>
  </si>
  <si>
    <t>1254199664</t>
  </si>
  <si>
    <t>56241903</t>
  </si>
  <si>
    <t>adaptér pro napojení svislého odtoku PE/PP š 150mm DN od 160mm</t>
  </si>
  <si>
    <t>-1685492037</t>
  </si>
  <si>
    <t>Poznámka k položce:_x000D_
žlab</t>
  </si>
  <si>
    <t>1956629940</t>
  </si>
  <si>
    <t>Jádrové vrty diamantovými korunkami do stavebních materiálů (železobetonu, betonu, cihel, obkladů, dlažeb, kamene) průměru přes 150 do 180 mm</t>
  </si>
  <si>
    <t>-414098308</t>
  </si>
  <si>
    <t>https://podminky.urs.cz/item/CS_URS_2023_01/977151124</t>
  </si>
  <si>
    <t>"šachta UV 5,6, ACO2" 3*0,12</t>
  </si>
  <si>
    <t>1330915360</t>
  </si>
  <si>
    <t>"odpad k recyklaci na deponi a zpět" (157,734+55,97)*2</t>
  </si>
  <si>
    <t>"odpad k na skládku"  4,355+0,02</t>
  </si>
  <si>
    <t>-469332720</t>
  </si>
  <si>
    <t>Poznámka k položce:_x000D_
kládka Benátky nad Jizerou (cca 16 km)</t>
  </si>
  <si>
    <t>"odpad na skládku" 4,355+0,02</t>
  </si>
  <si>
    <t>4,375*15 "Přepočtené koeficientem množství</t>
  </si>
  <si>
    <t>-1916508085</t>
  </si>
  <si>
    <t>"odpad k recyklaci na deponi a zpět" (157,734+55,97)</t>
  </si>
  <si>
    <t>2146409235</t>
  </si>
  <si>
    <t>Přesun hmot pro trubní vedení hloubené z trub z plastických hmot nebo sklolaminátových pro vodovody nebo kanalizace v otevřeném výkopu dopravní vzdálenost do 15 m</t>
  </si>
  <si>
    <t>-1505873342</t>
  </si>
  <si>
    <t>https://podminky.urs.cz/item/CS_URS_2023_01/998276101</t>
  </si>
  <si>
    <t>Přesun hmot pro trubní vedení hloubené z trub z plastických hmot nebo sklolaminátových Příplatek k cenám za zvětšený přesun přes vymezenou největší dopravní vzdálenost do 500 m</t>
  </si>
  <si>
    <t>70984344</t>
  </si>
  <si>
    <t>https://podminky.urs.cz/item/CS_URS_2023_01/998276124</t>
  </si>
  <si>
    <t>Lapače střešních splavenin montáž lapačů střešních splavenin ostatních typů litinových DN 150</t>
  </si>
  <si>
    <t>1361062936</t>
  </si>
  <si>
    <t>-32288790</t>
  </si>
  <si>
    <t>kpl…</t>
  </si>
  <si>
    <t>302402263</t>
  </si>
  <si>
    <t>Poznámka k položce:_x000D_
- statická zatěžovací zkouška k prokázání stupně zhutnění zásypů výkopů po 50 m - 6 úseků_x000D_
- statická zatěžovací zkouška zemní pláně po jednotlivých úsecích - 6 úseků</t>
  </si>
  <si>
    <t>332330257</t>
  </si>
  <si>
    <t>Poznámka k položce:_x000D_
- zkouška těsnosti šachet</t>
  </si>
  <si>
    <t>-1958709958</t>
  </si>
  <si>
    <t>Poznámka k položce:_x000D_
- kamerová zkouška s vyhotovením protokolu a výškového profilu (před uvedením do provozu a před koncem záruky)_x000D_
- zkouška betonové směsi - 6 ks</t>
  </si>
  <si>
    <t>VRN5</t>
  </si>
  <si>
    <t>Finanční náklady</t>
  </si>
  <si>
    <t>050001000</t>
  </si>
  <si>
    <t>-628220414</t>
  </si>
  <si>
    <t>Poznámka k položce:_x000D_
- provizorní propojení nového a starého úseku po skončení směny (včetně provizorního zaslepení odtoku šachty) - celkem 6 úseků  - 38,1; 41,4; 49,1; 41,8; 44,0; 14 m</t>
  </si>
  <si>
    <t>SO 401.II - Veřejné osvětlení a rozhlas II. etapa</t>
  </si>
  <si>
    <t>Hydraulická zvedací plošina včetně obsluhy instalovaná na automobilovém podvozku, výšky zdvihu do 18 m</t>
  </si>
  <si>
    <t>-928698452</t>
  </si>
  <si>
    <t>Montáž trubek ochranných s nasunutím nebo našroubováním do krabic plastových tuhých, uložených volně, vnitřní Ø přes 40 do 90 mm</t>
  </si>
  <si>
    <t>-1969406968</t>
  </si>
  <si>
    <t>-160592362</t>
  </si>
  <si>
    <t>286*1,05 "Přepočtené koeficientem množství</t>
  </si>
  <si>
    <t>Montáž trubek ochranných s nasunutím nebo našroubováním do krabic plastových tuhých, uložených volně, vnitřní Ø přes 133 do 152 mm</t>
  </si>
  <si>
    <t>-2087539099</t>
  </si>
  <si>
    <t>423643183</t>
  </si>
  <si>
    <t>5*1,05 "Přepočtené koeficientem množství</t>
  </si>
  <si>
    <t>Montáž kabelů měděných bez ukončení uložených v trubkách zatažených plných kulatých nebo bezhalogenových (např. CYKY) počtu a průřezu žil 3x1,5 až 6 mm2</t>
  </si>
  <si>
    <t>813327933</t>
  </si>
  <si>
    <t>https://podminky.urs.cz/item/CS_URS_2023_01/741122122</t>
  </si>
  <si>
    <t>kabel instalační jádro Cu plné izolace PVC plášť PVC 450/750V (CYKY) 3x1,5mm2</t>
  </si>
  <si>
    <t>-636694905</t>
  </si>
  <si>
    <t>30*1,15 "Přepočtené koeficientem množství</t>
  </si>
  <si>
    <t>Montáž kabelů měděných bez ukončení uložených v trubkách zatažených plných kulatých nebo bezhalogenových (např. CYKY) počtu a průřezu žil 4x1,5 až 4 mm2</t>
  </si>
  <si>
    <t>-1103024387</t>
  </si>
  <si>
    <t>-820132857</t>
  </si>
  <si>
    <t>153*1,15 "Přepočtené koeficientem množství</t>
  </si>
  <si>
    <t>Montáž kabelů hliníkových bez ukončení uložených volně plných nebo laněných kulatých (např. AYKY) počtu a průřezu žil 4x16 mm2</t>
  </si>
  <si>
    <t>869108866</t>
  </si>
  <si>
    <t>-369881967</t>
  </si>
  <si>
    <t>Ukončení vodičů izolovaných s označením a zapojením na svorkovnici s otevřením a uzavřením krytu, průřezu žíly do 2,5 mm2</t>
  </si>
  <si>
    <t>1983577187</t>
  </si>
  <si>
    <t>https://podminky.urs.cz/item/CS_URS_2023_01/741130021</t>
  </si>
  <si>
    <t>Ukončení vodičů izolovaných s označením a zapojením na svorkovnici s otevřením a uzavřením krytu, průřezu žíly do 25 mm2</t>
  </si>
  <si>
    <t>-867446907</t>
  </si>
  <si>
    <t>https://podminky.urs.cz/item/CS_URS_2023_01/741130026</t>
  </si>
  <si>
    <t>Montáž uzemňovacího vedení s upevněním, propojením a připojením pomocí svorek v zemi s izolací spojů pásku průřezu do 120 mm2 v městské zástavbě</t>
  </si>
  <si>
    <t>-63508513</t>
  </si>
  <si>
    <t>https://podminky.urs.cz/item/CS_URS_2023_01/741410021</t>
  </si>
  <si>
    <t>-295437566</t>
  </si>
  <si>
    <t>143*0,95 "Přepočtené koeficientem množství</t>
  </si>
  <si>
    <t>741810002</t>
  </si>
  <si>
    <t>Zkoušky a prohlídky elektrických rozvodů a zařízení celková prohlídka a vyhotovení revizní zprávy pro objem montážních prací přes 100 do 500 tis. Kč</t>
  </si>
  <si>
    <t>-1659995541</t>
  </si>
  <si>
    <t>https://podminky.urs.cz/item/CS_URS_2023_01/741810002</t>
  </si>
  <si>
    <t>Měření osvětlovacího zařízení intenzity osvětlení na pracovišti do 50 svítidel</t>
  </si>
  <si>
    <t>1723599257</t>
  </si>
  <si>
    <t>https://podminky.urs.cz/item/CS_URS_2023_01/741820102</t>
  </si>
  <si>
    <t>Přesun hmot pro silnoproud stanovený z hmotnosti přesunovaného materiálu vodorovná dopravní vzdálenost do 50 m v objektech výšky do 6 m</t>
  </si>
  <si>
    <t>-1328609318</t>
  </si>
  <si>
    <t>https://podminky.urs.cz/item/CS_URS_2023_01/998741101</t>
  </si>
  <si>
    <t>Přesun hmot pro silnoproud stanovený z hmotnosti přesunovaného materiálu Příplatek k ceně za zvětšený přesun přes vymezenou největší dopravní vzdálenost do 500 m</t>
  </si>
  <si>
    <t>1036743432</t>
  </si>
  <si>
    <t>https://podminky.urs.cz/item/CS_URS_2023_01/998741193</t>
  </si>
  <si>
    <t>-657542683</t>
  </si>
  <si>
    <t>svítidlo pro osvětlení komunikace zdroj LED  46W, 5 500 lm, 3000K</t>
  </si>
  <si>
    <t>-1603194176</t>
  </si>
  <si>
    <t>Montáž stožárů osvětlení ocelových samostatně stojících, délky do 12 m</t>
  </si>
  <si>
    <t>467136282</t>
  </si>
  <si>
    <t>552525768</t>
  </si>
  <si>
    <t>Montáž elektrovýzbroje stožárů osvětlení 1 okruh</t>
  </si>
  <si>
    <t>-43231213</t>
  </si>
  <si>
    <t>https://podminky.urs.cz/item/CS_URS_2023_01/210204201</t>
  </si>
  <si>
    <t>123818637</t>
  </si>
  <si>
    <t>Zkoušky a prohlídky rozvodných zařízení revize, seřízení a uvedení do provozu řídící skříně pro vn</t>
  </si>
  <si>
    <t>-1838843955</t>
  </si>
  <si>
    <t>Demontáž stožárů osvětlení ocelových samostatně stojících, délky do 12 m</t>
  </si>
  <si>
    <t>-1555767356</t>
  </si>
  <si>
    <t>-1401434974</t>
  </si>
  <si>
    <t>-1626086156</t>
  </si>
  <si>
    <t>Montáž stožárové svorkovnice s připevněním</t>
  </si>
  <si>
    <t>1164184585</t>
  </si>
  <si>
    <t>https://podminky.urs.cz/item/CS_URS_2023_01/220960021</t>
  </si>
  <si>
    <t>stožárová svorkovnice</t>
  </si>
  <si>
    <t>1746575422</t>
  </si>
  <si>
    <t>Hloubení nezapažených jam strojně včetně urovnáním dna s přemístěním výkopku do vzdálenosti 3 m od okraje jámy nebo s naložením na dopravní prostředek v hornině třídy těžitelnosti I skupiny 3</t>
  </si>
  <si>
    <t>975075033</t>
  </si>
  <si>
    <t>"stožár"5*1*1*1</t>
  </si>
  <si>
    <t>Hloubení nezapažených kabelových rýh strojně včetně urovnání dna s přemístěním výkopku do vzdálenosti 3 m od okraje jámy nebo s naložením na dopravní prostředek šířky 35 cm hloubky 90 cm v hornině třídy těžitelnosti I skupiny 3</t>
  </si>
  <si>
    <t>2611571</t>
  </si>
  <si>
    <t>Vodorovné přemístění (odvoz) horniny dopravními prostředky včetně složení, bez naložení a rozprostření jakékoliv třídy, na vzdálenost přes 500 do 1000 m</t>
  </si>
  <si>
    <t>1098351699</t>
  </si>
  <si>
    <t>"zemina výkop-zásypy" (5+133*0,4*1)-(133*0,4*0,65)</t>
  </si>
  <si>
    <t>Vodorovné přemístění (odvoz) horniny dopravními prostředky včetně složení, bez naložení a rozprostření jakékoliv třídy, na vzdálenost Příplatek k ceně -1113 za každých dalších i započatých 1000 m</t>
  </si>
  <si>
    <t>419056272</t>
  </si>
  <si>
    <t>23,62*13 "Přepočtené koeficientem množství</t>
  </si>
  <si>
    <t>Poplatek (skládkovné) za uložení zeminy na skládce zatříděné do Katalogu odpadů pod kódem 17 05 04</t>
  </si>
  <si>
    <t>477769778</t>
  </si>
  <si>
    <t>23,62*2 "Přepočtené koeficientem množství</t>
  </si>
  <si>
    <t>Zásyp kabelových rýh strojně s přemístěním sypaniny ze vzdálenosti do 10 m, s uložením výkopku ve vrstvách včetně zhutnění a urovnání povrchu šířky 35 cm hloubky 90 cm z horniny třídy těžitelnosti I skupiny 3</t>
  </si>
  <si>
    <t>647879094</t>
  </si>
  <si>
    <t>štěrkopísek netříděný</t>
  </si>
  <si>
    <t>752348470</t>
  </si>
  <si>
    <t>"obsyp potrubí v tl. 200 mm- vedení" (0,2*0,4*133)-(3,14*0,025*0,025*133)</t>
  </si>
  <si>
    <t>10,379*2 "Přepočtené koeficientem množství</t>
  </si>
  <si>
    <t>Základové konstrukce základ bez bednění do rostlé zeminy z monolitického betonu tř. C 16/20</t>
  </si>
  <si>
    <t>-2019859480</t>
  </si>
  <si>
    <t>Kabelové lože z písku včetně podsypu, zhutnění a urovnání povrchu pro kabely nn bez zakrytí, šířky přes 35 do 50 cm</t>
  </si>
  <si>
    <t>-1530966937</t>
  </si>
  <si>
    <t>Výstražná fólie z PVC pro krytí kabelů včetně vyrovnání povrchu rýhy, rozvinutí a uložení fólie šířky do 34 cm</t>
  </si>
  <si>
    <t>1246676447</t>
  </si>
  <si>
    <t>Přesun hmot pro pomocné stavební práce při elektromontážích dopravní vzdálenost do 1 000 m</t>
  </si>
  <si>
    <t>-184902758</t>
  </si>
  <si>
    <t>SO 404.II - Chráničky pro optickou síť II. etapa</t>
  </si>
  <si>
    <t>-874858532</t>
  </si>
  <si>
    <t>120*1,1 "Přepočtené koeficientem množství</t>
  </si>
  <si>
    <t>Montáž trubek elektroinstalačních plastových tuhých pro vnější rozvody uložených volně na příchytky</t>
  </si>
  <si>
    <t>-111867091</t>
  </si>
  <si>
    <t>-1418985986</t>
  </si>
  <si>
    <t>500*1,05 "Přepočtené koeficientem množství</t>
  </si>
  <si>
    <t>Přesun hmot pro slaboproud stanovený z hmotnosti přesunovaného materiálu vodorovná dopravní vzdálenost do 50 m v objektech výšky do 6 m</t>
  </si>
  <si>
    <t>1032154127</t>
  </si>
  <si>
    <t>Přesun hmot pro slaboproud stanovený z hmotnosti přesunovaného materiálu Příplatek k ceně za zvětšený přesun přes vymezenou největší dopravní vzdálenost do 1000 m</t>
  </si>
  <si>
    <t>-462458161</t>
  </si>
  <si>
    <t>-1299878239</t>
  </si>
  <si>
    <t>382380657</t>
  </si>
  <si>
    <t>-376796903</t>
  </si>
  <si>
    <t>1529976144</t>
  </si>
  <si>
    <t>"zemina výkop-zásypy" (120*0,4*1)-(120*0,4*0,65)</t>
  </si>
  <si>
    <t>1090212976</t>
  </si>
  <si>
    <t>16,8*13 "Přepočtené koeficientem množství</t>
  </si>
  <si>
    <t>-583074368</t>
  </si>
  <si>
    <t>16,8*2 "Přepočtené koeficientem množství</t>
  </si>
  <si>
    <t>1318848295</t>
  </si>
  <si>
    <t>"délka"120</t>
  </si>
  <si>
    <t>-230021519</t>
  </si>
  <si>
    <t>"obsyp potrubí v tl. 200 mm- vedení" (0,2*0,4*120)-(3,14*0,025*0,025*120)</t>
  </si>
  <si>
    <t>9,365*2 "Přepočtené koeficientem množství</t>
  </si>
  <si>
    <t>-1681685697</t>
  </si>
  <si>
    <t>-2142484671</t>
  </si>
  <si>
    <t>-402342838</t>
  </si>
  <si>
    <t>SO 801.II - Sadové úpravy II. etapa</t>
  </si>
  <si>
    <t>1969040264</t>
  </si>
  <si>
    <t>"ornice z deponii" 178*0,15</t>
  </si>
  <si>
    <t>Nakládání, skládání a překládání neulehlého výkopku nebo sypaniny strojně nakládání, množství do 100 m3, z horniny třídy těžitelnosti I, skupiny 1 až 3</t>
  </si>
  <si>
    <t>-578295833</t>
  </si>
  <si>
    <t>Plošná úprava terénu v zemině skupiny 1 až 4 s urovnáním povrchu bez doplnění ornice souvislé plochy do 500 m2 při nerovnostech terénu přes 100 do 150 mm v rovině nebo na svahu do 1:5</t>
  </si>
  <si>
    <t>-651743285</t>
  </si>
  <si>
    <t>Rozprostření a urovnání ornice v rovině nebo ve svahu sklonu do 1:5 strojně při souvislé ploše přes 100 do 500 m2, tl. vrstvy do 200 mm</t>
  </si>
  <si>
    <t>-1964104072</t>
  </si>
  <si>
    <t>Založení trávníku na půdě předem připravené plochy do 1000 m2 výsevem včetně utažení parkového v rovině nebo na svahu do 1:5</t>
  </si>
  <si>
    <t>-449801560</t>
  </si>
  <si>
    <t>"plocha trávníku" 178</t>
  </si>
  <si>
    <t>-1446532457</t>
  </si>
  <si>
    <t>178*0,02 "Přepočtené koeficientem množství</t>
  </si>
  <si>
    <t>Rozrušení půdy na hloubku přes 50 do 150 mm souvislé plochy do 500 m2 v rovině nebo na svahu do 1:5</t>
  </si>
  <si>
    <t>-306118325</t>
  </si>
  <si>
    <t>Obdělání půdy hrabáním v rovině nebo na svahu do 1:5</t>
  </si>
  <si>
    <t>-1120776525</t>
  </si>
  <si>
    <t>https://podminky.urs.cz/item/CS_URS_2023_01/183403153</t>
  </si>
  <si>
    <t>Chemické odplevelení půdy před založením kultury, trávníku nebo zpevněných ploch ručně o jakékoli výměře postřikem na široko v rovině nebo na svahu do 1:5</t>
  </si>
  <si>
    <t>-2008316448</t>
  </si>
  <si>
    <t>https://podminky.urs.cz/item/CS_URS_2023_01/184813511</t>
  </si>
  <si>
    <t>Chemické odplevelení po založení kultury ručně postřikem na široko v rovině nebo na svahu do 1:5</t>
  </si>
  <si>
    <t>648771584</t>
  </si>
  <si>
    <t>Hnojení půdy nebo trávníku v rovině nebo na svahu do 1:5 umělým hnojivem na široko</t>
  </si>
  <si>
    <t>-909243051</t>
  </si>
  <si>
    <t>https://podminky.urs.cz/item/CS_URS_2023_01/185802113</t>
  </si>
  <si>
    <t>"4-5 g na m2" 178*0,025/1000</t>
  </si>
  <si>
    <t>-970912023</t>
  </si>
  <si>
    <t>Dovoz vody pro zálivku rostlin na vzdálenost do 1000 m</t>
  </si>
  <si>
    <t>2105566297</t>
  </si>
  <si>
    <t>https://podminky.urs.cz/item/CS_URS_2023_01/185851121</t>
  </si>
  <si>
    <t>"trávník" 178*0,01</t>
  </si>
  <si>
    <t>Přesun hmot pro sadovnické a krajinářské úpravy - ručně bez užití mechanizace vodorovná dopravní vzdálenost do 100 m</t>
  </si>
  <si>
    <t>151954137</t>
  </si>
  <si>
    <t>https://podminky.urs.cz/item/CS_URS_2023_01/998231411</t>
  </si>
  <si>
    <t>{742adb37-dea9-40a3-9297-0e3082422dd3}</t>
  </si>
  <si>
    <t>VON - Všeobecné a obecné náklady CELKEM VDV I. etapa a II. etapa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</si>
  <si>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</si>
  <si>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</si>
  <si>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</si>
  <si>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</si>
  <si>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VRN9 - Ostatní náklady</t>
  </si>
  <si>
    <t>1937060552</t>
  </si>
  <si>
    <t>Poznámka k položce:_x000D_
Čištění bude prováděno při znečištění přiléhlých komunikací.</t>
  </si>
  <si>
    <t>VRN1</t>
  </si>
  <si>
    <t>Průzkumné, geodetické a projektové práce</t>
  </si>
  <si>
    <t>010001000.R1</t>
  </si>
  <si>
    <t>Průzkumné práce - náklady na geotechnický, hydrogeologický průzkum</t>
  </si>
  <si>
    <t>934038992</t>
  </si>
  <si>
    <t>Poznámka k položce:_x000D_
Součástí položky je zejména:_x000D_
- náklady na geotechnický, hydrogeologický průzkum.</t>
  </si>
  <si>
    <t>010001000.R2</t>
  </si>
  <si>
    <t>Průzkumné práce - náklady korozní průzkum</t>
  </si>
  <si>
    <t>1059680989</t>
  </si>
  <si>
    <t>Poznámka k položce:_x000D_
Součástí položky je zejména:_x000D_
- náklady korozní průzkum.</t>
  </si>
  <si>
    <t>010001000.R3</t>
  </si>
  <si>
    <t>Průzkumné práce - náklady na geotechnicý průzkum materiálových nalezišť (zemníků)</t>
  </si>
  <si>
    <t>-1299647975</t>
  </si>
  <si>
    <t>Poznámka k položce:_x000D_
Součástí položky je zejména:_x000D_
- náklady na geotechnicý průzkum materiálových nalezišť (zemníků).</t>
  </si>
  <si>
    <t>011303000</t>
  </si>
  <si>
    <t>Archeologická činnost bez rozlišení</t>
  </si>
  <si>
    <t>2078728610</t>
  </si>
  <si>
    <t>Poznámka k položce:_x000D_
Součástí položky je zejména:_x000D_
- náklady na archelogický průzkum.</t>
  </si>
  <si>
    <t>012103000</t>
  </si>
  <si>
    <t>Geodetické práce před výstavbou</t>
  </si>
  <si>
    <t>-246802611</t>
  </si>
  <si>
    <t>Poznámka k položce:_x000D_
Veškeré geodetické činnosti spojené s vytýčením stavebních objektů, inženýrských objektů a inženýrských sítí (vč. úhrady za jejich vytýčení). Geodetické vytýčení staveniště v terénu před zahájením stavebních prací (směrově, výškově).</t>
  </si>
  <si>
    <t>012203000</t>
  </si>
  <si>
    <t>Geodetické práce při provádění stavby</t>
  </si>
  <si>
    <t>1247846886</t>
  </si>
  <si>
    <t>Poznámka k položce:_x000D_
Veškeré geodetické činnosti spojené s vytýčením stavebních objektů, inženýrských objektů a inženýrských sítí při provádění stavby. Včetně zjištění stavu výškových poloh stávajících inženýrských sítí.</t>
  </si>
  <si>
    <t>012303000</t>
  </si>
  <si>
    <t>Geodetické práce po výstavbě</t>
  </si>
  <si>
    <t>-884678439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</si>
  <si>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(Microstation). Výstupy za jednotlivé sítě budou v samostatných souborech (různí spráci sítí jednotlivých sítí) + ke každé síti bude ještě tištěný formát ve 3 paré.</t>
  </si>
  <si>
    <t>012403000</t>
  </si>
  <si>
    <t>Kartografické práce</t>
  </si>
  <si>
    <t>-2063373193</t>
  </si>
  <si>
    <t>Poznámka k položce:_x000D_
Vypracování geometrického plánu pro katastrální úřad.</t>
  </si>
  <si>
    <t>013254000</t>
  </si>
  <si>
    <t>Dokumentace skutečného provedení stavby</t>
  </si>
  <si>
    <t>-384976798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</si>
  <si>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</si>
  <si>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013274000</t>
  </si>
  <si>
    <t>Pasportizace objektu před započetím prací</t>
  </si>
  <si>
    <t>-141368725</t>
  </si>
  <si>
    <t>Poznámka k položce:_x000D_
Před zahájením stavby provede zhotovitel pasportizaci nemovitostí, vč. fotografické dokumentace.</t>
  </si>
  <si>
    <t>013294000</t>
  </si>
  <si>
    <t>Ostatní dokumentace doklady pro kolaudaci</t>
  </si>
  <si>
    <t>-1072000330</t>
  </si>
  <si>
    <t>Poznámka k položce:_x000D_
Veškeré jiné administrativní a správní úkony vyplývající ze zadávací dokumentace veřejné zakázky nutné k řádnému dokončení  a předání díla.</t>
  </si>
  <si>
    <t>VRN2</t>
  </si>
  <si>
    <t>Příprava staveniště</t>
  </si>
  <si>
    <t>020001000</t>
  </si>
  <si>
    <t>-1949660006</t>
  </si>
  <si>
    <t>Poznámka k položce:_x000D_
Položka obsahuje zejména:_x000D_
-  pasportizace stávajících objektů komunikací (objízdných tras).</t>
  </si>
  <si>
    <t>022002000</t>
  </si>
  <si>
    <t>Ochrana stávajících inženýrských sítí před poškozením</t>
  </si>
  <si>
    <t>-235156297</t>
  </si>
  <si>
    <t>Poznámka k položce:_x000D_
Součástí položky jsou:_x000D_
- náklady na zajištění vytýčení jednotlivých sítí od správců sítí         _x000D_
- popřípadě náklady na koordinaci přeložení či ochrany sítí se správci jednotlivých sítí _x000D_
- náklady na zřízení ochrany dřevin.</t>
  </si>
  <si>
    <t>VRN3</t>
  </si>
  <si>
    <t>Zařízení staveniště</t>
  </si>
  <si>
    <t>031203000</t>
  </si>
  <si>
    <t>Terénní úpravy pro zařízení staveniště</t>
  </si>
  <si>
    <t>-1399611607</t>
  </si>
  <si>
    <t>Poznámka k položce:_x000D_
Součástí položky je zejména:  _x000D_
- vybudování zpevněné plochy pro zařízení staveniště.</t>
  </si>
  <si>
    <t>032103000</t>
  </si>
  <si>
    <t>Zařízení staveniště - náklady na vybavení staveniště</t>
  </si>
  <si>
    <t>-2138282274</t>
  </si>
  <si>
    <t>Poznámka k položce:_x000D_
Součástí položky je zejména: _x000D_
- náklady na stavební buňky (kanceláře, stavební sklady, mobilní WC atd.)                                 _x000D_
- náklady na provoz a údržbu staveniště (připojení energií, pravidelný úklid apod.)    _x000D_
- zřízení provozorních komunikací (lávky, můstky, zábrany atd.)_x000D_
 - kontejnery na odpad_x000D_
- skládky na staveništi (vyhrazení, přesun apod.).</t>
  </si>
  <si>
    <t>033103000</t>
  </si>
  <si>
    <t>Zařízení staveniště - připojení energií a spotřeba ener. pro zařízení staveniště</t>
  </si>
  <si>
    <t>1163367495</t>
  </si>
  <si>
    <t>Poznámka k položce:_x000D_
Součástí položky jsou zejména náklady na:_x000D_
- připojení jednotlivých energií (voda, elektrika, WIFI apod.)_x000D_
- energie jako takové.</t>
  </si>
  <si>
    <t>034103000</t>
  </si>
  <si>
    <t>Zařízení staveniště - zabezpečení staveniště</t>
  </si>
  <si>
    <t>2041975319</t>
  </si>
  <si>
    <t>Poznámka k položce:_x000D_
Součástí položky jsou zejména náklady na:_x000D_
- oplocení staveniště a ohrazení prováděných objektů_x000D_
- ochranna okolních pozemků_x000D_
- dopravní značení staveniště_x000D_
-  osvětlení staveniště_x000D_
-  informační tabule apod.</t>
  </si>
  <si>
    <t>035103001</t>
  </si>
  <si>
    <t>Zařízení staveniště - pronájem ploch</t>
  </si>
  <si>
    <t>-1408544219</t>
  </si>
  <si>
    <t>Poznámka k položce:_x000D_
Součástí položky jsou zejména náklady na:_x000D_
-  nájem ploch či objektů pro staveniště.</t>
  </si>
  <si>
    <t>039103000</t>
  </si>
  <si>
    <t>Zařízení staveniště - zrušení zařízení staveniště</t>
  </si>
  <si>
    <t>-574675386</t>
  </si>
  <si>
    <t>Poznámka k položce:_x000D_
Součástí položky jsou zejména náklady na: _x000D_
- rozebrání, bourání a odvoz zařízení staveniště_x000D_
- úpravu terénu po staveništi.</t>
  </si>
  <si>
    <t>042503000</t>
  </si>
  <si>
    <t>Plán BOZP na staveništi</t>
  </si>
  <si>
    <t>1134916067</t>
  </si>
  <si>
    <t>Poznámka k položce:_x000D_
Součástí položky jsou zejména náklady na: _x000D_
- vypracování plánu BOZP dodavatelem stavby_x000D_
- koordinace s pracovníkem BOZP investora.</t>
  </si>
  <si>
    <t>043103000.R1</t>
  </si>
  <si>
    <t>Zkoušky bez rozlišení - zkouška modulu přetvárnosti</t>
  </si>
  <si>
    <t>667835714</t>
  </si>
  <si>
    <t>Poznámka k položce:_x000D_
Jedná se o kontrolní zkoušku pro potřebu objednatele. Povinné zkoušky k jednotlivýcm konstrukčním vrstvám, včetně zemního tělesa komunikace v rozsahu dle platných ČSN. ČSN jsou zahrnuty v příslušných položkách.</t>
  </si>
  <si>
    <t>043103000.R2</t>
  </si>
  <si>
    <t>Zkoušky bez rozlišení - zkouška míry zhutnění</t>
  </si>
  <si>
    <t>-1963063084</t>
  </si>
  <si>
    <t>Poznámka k položce:_x000D_
Jedná se o kontrolní zkoušku pro potřebu objednatele. Povinné zkoušky k jednotlivým konstrukčním vrstvám, včetně zemního tělesa komunikace v rozsahu dle platných ČSN. ČSN jsou zahrnuty v příslušných položkách.</t>
  </si>
  <si>
    <t>043103000.R3</t>
  </si>
  <si>
    <t>Zkoušky bez rozlišení - zkouška vlhkosti</t>
  </si>
  <si>
    <t>671704744</t>
  </si>
  <si>
    <t>043103000.R4</t>
  </si>
  <si>
    <t>Zkoušky bez rozlišení - zkouška únosnosti zemní pláně</t>
  </si>
  <si>
    <t>-604751192</t>
  </si>
  <si>
    <t>043103000.R5</t>
  </si>
  <si>
    <t>Zkoušky bez rozlišení - zkouška nivelační</t>
  </si>
  <si>
    <t>1545760972</t>
  </si>
  <si>
    <t>043103000.R6</t>
  </si>
  <si>
    <t>Zkoušky bez rozlišení - pro zajištění množství polyaromatických uhlovodíků (PAU) u asfaltových směsí</t>
  </si>
  <si>
    <t>-496334429</t>
  </si>
  <si>
    <t>052002000</t>
  </si>
  <si>
    <t>Finanční rezerva - 3% ze základních rozpočtových nákladů (ZRN)</t>
  </si>
  <si>
    <t>Kč</t>
  </si>
  <si>
    <t>1935249522</t>
  </si>
  <si>
    <t>VRN7</t>
  </si>
  <si>
    <t>Provozní vlivy</t>
  </si>
  <si>
    <t>071203000</t>
  </si>
  <si>
    <t>Provoz dalšího subjektu</t>
  </si>
  <si>
    <t>2068015020</t>
  </si>
  <si>
    <t>Poznámka k položce:_x000D_
Součástí položky jsou zejména náklady na: _x000D_
- zajištění vjezdu místních obyvatel_x000D_
- zajištění vjezdu IZS_x000D_
- zajištění dočasné autobusové zastávky apod._x000D_
- zajištění asistence správce sití.</t>
  </si>
  <si>
    <t>072103001</t>
  </si>
  <si>
    <t>Projednání DIO a zajištění DIR komunikace II.a III. třídy</t>
  </si>
  <si>
    <t>684810211</t>
  </si>
  <si>
    <t>Poznámka k položce:_x000D_
Součástí položky jsou zejména náklady na: _x000D_
- zpracování realizačního DIO_x000D_
- zajištění vydání všech potřebných rozhodnutí a stanovení pro přechodnou úpravu provozu na pozemních komunikacích dle zpracované PD a dle vyjádření dotčených orgánů.</t>
  </si>
  <si>
    <t>072103011</t>
  </si>
  <si>
    <t>Zajištění DIO komunikace II. a III. třídy - jednoduché el. vedení</t>
  </si>
  <si>
    <t>-333818632</t>
  </si>
  <si>
    <t>Poznámka k položce:_x000D_
Součástí položky jsou zejména náklady na: _x000D_
- montáž, pronájem  a demontáž dočasných dopravních značek kompletních.</t>
  </si>
  <si>
    <t>VRN9</t>
  </si>
  <si>
    <t>Ostatní náklady</t>
  </si>
  <si>
    <t>091504000</t>
  </si>
  <si>
    <t>Náklady související s publikační činností</t>
  </si>
  <si>
    <t>-302716469</t>
  </si>
  <si>
    <t>Poznámka k položce:_x000D_
Součástí položky jsou zejména náklady na:_x000D_
-publicitu a propagaci stavby.</t>
  </si>
  <si>
    <t>092103001</t>
  </si>
  <si>
    <t>Náklady na zkušební provoz</t>
  </si>
  <si>
    <t>-1302695999</t>
  </si>
  <si>
    <t>092203000</t>
  </si>
  <si>
    <t>Náklady na zaškolení</t>
  </si>
  <si>
    <t>-22654340</t>
  </si>
  <si>
    <t>Poznámka k položce:_x000D_
Součástí položky jsou zejména náklady na:_x000D_
- zaškolení pracovníků provozovatele/objednatele.</t>
  </si>
  <si>
    <t>093103000</t>
  </si>
  <si>
    <t>Odstranění následků havárie, živelné pohromy</t>
  </si>
  <si>
    <t>-517901704</t>
  </si>
  <si>
    <t>Poznámka k položce:_x000D_
Součástí položky jsou zejména náklady na:_x000D_
- havarijní plán.</t>
  </si>
  <si>
    <t>R</t>
  </si>
  <si>
    <t>Poplatek za zvláštní užívání veřejného prostranství, vypočtený dle platné OZV města Dobrovice, pro případ dodržení termínů výstavby obou etap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</si>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</sst>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0" formatCode="#,##0.00%"/>
    <numFmt numFmtId="181" formatCode="dd\.mm\.yyyy"/>
    <numFmt numFmtId="182" formatCode="#,##0.00000"/>
    <numFmt numFmtId="183" formatCode="#,##0.000"/>
  </numFmts>
  <fonts count="54" x14ac:knownFonts="1">
    <font>
      <sz val="8"/>
      <name val="Trebuchet MS"/>
      <family val="2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8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i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theme="0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theme="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11"/>
      <color rgb="FF003366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37">
    <xf numFmtId="0" fontId="0" fillId="0" borderId="0" xfId="0" applyFont="1"/>
    <xf numFmtId="0" fontId="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23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9" xfId="0" applyFont="1" applyBorder="1"/>
    <xf numFmtId="0" fontId="0" fillId="0" borderId="10" xfId="0" applyFont="1" applyBorder="1"/>
    <xf numFmtId="0" fontId="0" fillId="0" borderId="11" xfId="0" applyFont="1" applyBorder="1"/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0" fillId="0" borderId="0" xfId="0" applyFont="1" applyAlignment="1">
      <alignment horizontal="left" vertical="center"/>
    </xf>
    <xf numFmtId="14" fontId="31" fillId="2" borderId="0" xfId="0" applyNumberFormat="1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top"/>
    </xf>
    <xf numFmtId="0" fontId="31" fillId="2" borderId="0" xfId="0" applyFont="1" applyFill="1" applyAlignment="1" applyProtection="1">
      <alignment horizontal="left" vertical="center"/>
      <protection locked="0"/>
    </xf>
    <xf numFmtId="0" fontId="0" fillId="0" borderId="12" xfId="0" applyFont="1" applyBorder="1"/>
    <xf numFmtId="0" fontId="0" fillId="0" borderId="11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11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14" xfId="0" applyFont="1" applyFill="1" applyBorder="1" applyAlignment="1">
      <alignment horizontal="left" vertical="center"/>
    </xf>
    <xf numFmtId="0" fontId="0" fillId="3" borderId="15" xfId="0" applyFont="1" applyFill="1" applyBorder="1" applyAlignment="1">
      <alignment vertical="center"/>
    </xf>
    <xf numFmtId="0" fontId="3" fillId="3" borderId="15" xfId="0" applyFont="1" applyFill="1" applyBorder="1" applyAlignment="1">
      <alignment horizontal="center" vertical="center"/>
    </xf>
    <xf numFmtId="0" fontId="3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20" fillId="0" borderId="13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81" fontId="1" fillId="0" borderId="0" xfId="0" applyNumberFormat="1" applyFont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20" xfId="0" applyFont="1" applyBorder="1" applyAlignment="1">
      <alignment vertical="center"/>
    </xf>
    <xf numFmtId="0" fontId="0" fillId="4" borderId="15" xfId="0" applyFont="1" applyFill="1" applyBorder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4" fontId="3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6" fillId="0" borderId="25" xfId="0" applyNumberFormat="1" applyFont="1" applyBorder="1" applyAlignment="1">
      <alignment vertical="center"/>
    </xf>
    <xf numFmtId="4" fontId="36" fillId="0" borderId="0" xfId="0" applyNumberFormat="1" applyFont="1" applyAlignment="1">
      <alignment vertical="center"/>
    </xf>
    <xf numFmtId="182" fontId="36" fillId="0" borderId="0" xfId="0" applyNumberFormat="1" applyFont="1" applyAlignment="1">
      <alignment vertical="center"/>
    </xf>
    <xf numFmtId="4" fontId="36" fillId="0" borderId="20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7" fillId="0" borderId="0" xfId="1" applyFont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40" fillId="0" borderId="25" xfId="0" applyNumberFormat="1" applyFont="1" applyBorder="1" applyAlignment="1">
      <alignment vertical="center"/>
    </xf>
    <xf numFmtId="4" fontId="40" fillId="0" borderId="0" xfId="0" applyNumberFormat="1" applyFont="1" applyAlignment="1">
      <alignment vertical="center"/>
    </xf>
    <xf numFmtId="182" fontId="40" fillId="0" borderId="0" xfId="0" applyNumberFormat="1" applyFont="1" applyAlignment="1">
      <alignment vertical="center"/>
    </xf>
    <xf numFmtId="4" fontId="40" fillId="0" borderId="20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40" fillId="0" borderId="26" xfId="0" applyNumberFormat="1" applyFont="1" applyBorder="1" applyAlignment="1">
      <alignment vertical="center"/>
    </xf>
    <xf numFmtId="4" fontId="40" fillId="0" borderId="27" xfId="0" applyNumberFormat="1" applyFont="1" applyBorder="1" applyAlignment="1">
      <alignment vertical="center"/>
    </xf>
    <xf numFmtId="182" fontId="40" fillId="0" borderId="27" xfId="0" applyNumberFormat="1" applyFont="1" applyBorder="1" applyAlignment="1">
      <alignment vertical="center"/>
    </xf>
    <xf numFmtId="4" fontId="40" fillId="0" borderId="28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17" xfId="0" applyFont="1" applyBorder="1" applyAlignment="1">
      <alignment vertical="center"/>
    </xf>
    <xf numFmtId="0" fontId="41" fillId="0" borderId="0" xfId="0" applyFont="1"/>
    <xf numFmtId="0" fontId="42" fillId="0" borderId="0" xfId="0" applyFont="1" applyAlignment="1">
      <alignment horizontal="left" vertical="center"/>
    </xf>
    <xf numFmtId="181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1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180" fontId="20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3" fillId="4" borderId="14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right" vertical="center"/>
    </xf>
    <xf numFmtId="0" fontId="3" fillId="4" borderId="15" xfId="0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13" xfId="0" applyFont="1" applyBorder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right" vertical="center"/>
    </xf>
    <xf numFmtId="0" fontId="43" fillId="0" borderId="0" xfId="0" applyFont="1" applyAlignment="1">
      <alignment horizontal="left" vertical="center"/>
    </xf>
    <xf numFmtId="0" fontId="21" fillId="0" borderId="11" xfId="0" applyFont="1" applyBorder="1" applyAlignment="1">
      <alignment vertical="center"/>
    </xf>
    <xf numFmtId="0" fontId="21" fillId="0" borderId="27" xfId="0" applyFont="1" applyBorder="1" applyAlignment="1">
      <alignment horizontal="left" vertical="center"/>
    </xf>
    <xf numFmtId="0" fontId="21" fillId="0" borderId="27" xfId="0" applyFont="1" applyBorder="1" applyAlignment="1">
      <alignment vertical="center"/>
    </xf>
    <xf numFmtId="4" fontId="21" fillId="0" borderId="27" xfId="0" applyNumberFormat="1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27" xfId="0" applyFont="1" applyBorder="1" applyAlignment="1">
      <alignment horizontal="left" vertical="center"/>
    </xf>
    <xf numFmtId="0" fontId="22" fillId="0" borderId="27" xfId="0" applyFont="1" applyBorder="1" applyAlignment="1">
      <alignment vertical="center"/>
    </xf>
    <xf numFmtId="4" fontId="22" fillId="0" borderId="27" xfId="0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4" fontId="35" fillId="0" borderId="0" xfId="0" applyNumberFormat="1" applyFont="1"/>
    <xf numFmtId="182" fontId="44" fillId="0" borderId="18" xfId="0" applyNumberFormat="1" applyFont="1" applyBorder="1"/>
    <xf numFmtId="182" fontId="44" fillId="0" borderId="19" xfId="0" applyNumberFormat="1" applyFont="1" applyBorder="1"/>
    <xf numFmtId="4" fontId="9" fillId="0" borderId="0" xfId="0" applyNumberFormat="1" applyFont="1" applyAlignment="1">
      <alignment vertical="center"/>
    </xf>
    <xf numFmtId="0" fontId="23" fillId="0" borderId="11" xfId="0" applyFont="1" applyBorder="1"/>
    <xf numFmtId="0" fontId="2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4" fontId="21" fillId="0" borderId="0" xfId="0" applyNumberFormat="1" applyFont="1"/>
    <xf numFmtId="0" fontId="23" fillId="0" borderId="25" xfId="0" applyFont="1" applyBorder="1"/>
    <xf numFmtId="182" fontId="23" fillId="0" borderId="0" xfId="0" applyNumberFormat="1" applyFont="1"/>
    <xf numFmtId="182" fontId="23" fillId="0" borderId="20" xfId="0" applyNumberFormat="1" applyFont="1" applyBorder="1"/>
    <xf numFmtId="0" fontId="23" fillId="0" borderId="0" xfId="0" applyFont="1" applyAlignment="1">
      <alignment horizontal="center"/>
    </xf>
    <xf numFmtId="4" fontId="23" fillId="0" borderId="0" xfId="0" applyNumberFormat="1" applyFont="1" applyAlignment="1">
      <alignment vertical="center"/>
    </xf>
    <xf numFmtId="0" fontId="22" fillId="0" borderId="0" xfId="0" applyFont="1" applyAlignment="1">
      <alignment horizontal="left"/>
    </xf>
    <xf numFmtId="4" fontId="22" fillId="0" borderId="0" xfId="0" applyNumberFormat="1" applyFont="1"/>
    <xf numFmtId="0" fontId="7" fillId="0" borderId="30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183" fontId="7" fillId="0" borderId="30" xfId="0" applyNumberFormat="1" applyFont="1" applyBorder="1" applyAlignment="1">
      <alignment vertical="center"/>
    </xf>
    <xf numFmtId="4" fontId="7" fillId="2" borderId="30" xfId="0" applyNumberFormat="1" applyFont="1" applyFill="1" applyBorder="1" applyAlignment="1" applyProtection="1">
      <alignment vertical="center"/>
      <protection locked="0"/>
    </xf>
    <xf numFmtId="4" fontId="7" fillId="0" borderId="30" xfId="0" applyNumberFormat="1" applyFont="1" applyBorder="1" applyAlignment="1">
      <alignment vertical="center"/>
    </xf>
    <xf numFmtId="0" fontId="34" fillId="0" borderId="25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182" fontId="34" fillId="0" borderId="0" xfId="0" applyNumberFormat="1" applyFont="1" applyAlignment="1">
      <alignment vertical="center"/>
    </xf>
    <xf numFmtId="182" fontId="34" fillId="0" borderId="20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45" fillId="0" borderId="0" xfId="0" applyFont="1" applyAlignment="1">
      <alignment horizontal="left" vertical="center"/>
    </xf>
    <xf numFmtId="0" fontId="4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4" fillId="0" borderId="11" xfId="0" applyFont="1" applyBorder="1" applyAlignment="1">
      <alignment vertical="center"/>
    </xf>
    <xf numFmtId="0" fontId="4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183" fontId="24" fillId="0" borderId="0" xfId="0" applyNumberFormat="1" applyFont="1" applyAlignment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25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5" fillId="0" borderId="11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83" fontId="25" fillId="0" borderId="0" xfId="0" applyNumberFormat="1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25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0" fontId="48" fillId="0" borderId="0" xfId="0" applyFont="1" applyAlignment="1">
      <alignment vertical="center" wrapText="1"/>
    </xf>
    <xf numFmtId="0" fontId="23" fillId="0" borderId="0" xfId="0" applyFont="1" applyProtection="1">
      <protection locked="0"/>
    </xf>
    <xf numFmtId="0" fontId="49" fillId="0" borderId="30" xfId="0" applyFont="1" applyBorder="1" applyAlignment="1">
      <alignment horizontal="center" vertical="center"/>
    </xf>
    <xf numFmtId="49" fontId="49" fillId="0" borderId="30" xfId="0" applyNumberFormat="1" applyFont="1" applyBorder="1" applyAlignment="1">
      <alignment horizontal="left" vertical="center" wrapText="1"/>
    </xf>
    <xf numFmtId="0" fontId="49" fillId="0" borderId="30" xfId="0" applyFont="1" applyBorder="1" applyAlignment="1">
      <alignment horizontal="left" vertical="center" wrapText="1"/>
    </xf>
    <xf numFmtId="0" fontId="49" fillId="0" borderId="30" xfId="0" applyFont="1" applyBorder="1" applyAlignment="1">
      <alignment horizontal="center" vertical="center" wrapText="1"/>
    </xf>
    <xf numFmtId="183" fontId="49" fillId="0" borderId="30" xfId="0" applyNumberFormat="1" applyFont="1" applyBorder="1" applyAlignment="1">
      <alignment vertical="center"/>
    </xf>
    <xf numFmtId="4" fontId="49" fillId="2" borderId="30" xfId="0" applyNumberFormat="1" applyFont="1" applyFill="1" applyBorder="1" applyAlignment="1" applyProtection="1">
      <alignment vertical="center"/>
      <protection locked="0"/>
    </xf>
    <xf numFmtId="4" fontId="49" fillId="0" borderId="30" xfId="0" applyNumberFormat="1" applyFont="1" applyBorder="1" applyAlignment="1">
      <alignment vertical="center"/>
    </xf>
    <xf numFmtId="0" fontId="50" fillId="0" borderId="11" xfId="0" applyFont="1" applyBorder="1" applyAlignment="1">
      <alignment vertical="center"/>
    </xf>
    <xf numFmtId="0" fontId="49" fillId="0" borderId="25" xfId="0" applyFont="1" applyBorder="1" applyAlignment="1">
      <alignment horizontal="left" vertical="center"/>
    </xf>
    <xf numFmtId="0" fontId="49" fillId="0" borderId="0" xfId="0" applyFont="1" applyAlignment="1">
      <alignment horizontal="center" vertical="center"/>
    </xf>
    <xf numFmtId="0" fontId="24" fillId="5" borderId="0" xfId="0" applyFont="1" applyFill="1" applyAlignment="1">
      <alignment vertical="center"/>
    </xf>
    <xf numFmtId="0" fontId="24" fillId="2" borderId="0" xfId="0" applyFont="1" applyFill="1" applyAlignment="1">
      <alignment horizontal="left" vertical="center" wrapText="1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center" vertical="center"/>
    </xf>
    <xf numFmtId="182" fontId="34" fillId="0" borderId="27" xfId="0" applyNumberFormat="1" applyFont="1" applyBorder="1" applyAlignment="1">
      <alignment vertical="center"/>
    </xf>
    <xf numFmtId="182" fontId="34" fillId="0" borderId="28" xfId="0" applyNumberFormat="1" applyFont="1" applyBorder="1" applyAlignment="1">
      <alignment vertical="center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0" fillId="0" borderId="27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6" fillId="0" borderId="0" xfId="0" applyFont="1" applyAlignment="1" applyProtection="1">
      <alignment vertical="center"/>
      <protection locked="0"/>
    </xf>
    <xf numFmtId="0" fontId="26" fillId="0" borderId="25" xfId="0" applyFont="1" applyBorder="1" applyAlignment="1">
      <alignment vertical="center"/>
    </xf>
    <xf numFmtId="0" fontId="26" fillId="0" borderId="20" xfId="0" applyFont="1" applyBorder="1" applyAlignment="1">
      <alignment vertical="center"/>
    </xf>
    <xf numFmtId="0" fontId="27" fillId="0" borderId="11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183" fontId="27" fillId="0" borderId="0" xfId="0" applyNumberFormat="1" applyFont="1" applyAlignment="1">
      <alignment vertical="center"/>
    </xf>
    <xf numFmtId="0" fontId="27" fillId="0" borderId="0" xfId="0" applyFont="1" applyAlignment="1" applyProtection="1">
      <alignment vertical="center"/>
      <protection locked="0"/>
    </xf>
    <xf numFmtId="0" fontId="27" fillId="0" borderId="25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49" fillId="0" borderId="26" xfId="0" applyFont="1" applyBorder="1" applyAlignment="1">
      <alignment horizontal="left" vertical="center"/>
    </xf>
    <xf numFmtId="0" fontId="49" fillId="0" borderId="27" xfId="0" applyFont="1" applyBorder="1" applyAlignment="1">
      <alignment horizontal="center" vertical="center"/>
    </xf>
    <xf numFmtId="181" fontId="31" fillId="2" borderId="0" xfId="0" applyNumberFormat="1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7" fillId="5" borderId="30" xfId="0" applyNumberFormat="1" applyFont="1" applyFill="1" applyBorder="1" applyAlignment="1">
      <alignment vertical="center"/>
    </xf>
    <xf numFmtId="0" fontId="0" fillId="0" borderId="0" xfId="0" applyFont="1" applyAlignment="1">
      <alignment vertical="top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top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4" fillId="0" borderId="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6" fillId="0" borderId="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3" fillId="0" borderId="0" xfId="0" applyFont="1" applyAlignment="1">
      <alignment vertical="top"/>
    </xf>
    <xf numFmtId="49" fontId="13" fillId="0" borderId="0" xfId="0" applyNumberFormat="1" applyFont="1" applyAlignment="1">
      <alignment horizontal="left" vertical="center"/>
    </xf>
    <xf numFmtId="0" fontId="0" fillId="0" borderId="7" xfId="0" applyFont="1" applyBorder="1" applyAlignment="1">
      <alignment vertical="top"/>
    </xf>
    <xf numFmtId="0" fontId="12" fillId="0" borderId="7" xfId="0" applyFont="1" applyBorder="1" applyAlignment="1">
      <alignment horizontal="left"/>
    </xf>
    <xf numFmtId="0" fontId="16" fillId="0" borderId="7" xfId="0" applyFont="1" applyBorder="1"/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38" fillId="0" borderId="0" xfId="0" applyFont="1" applyAlignment="1">
      <alignment horizontal="left" vertical="center" wrapText="1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left" vertical="center"/>
    </xf>
    <xf numFmtId="0" fontId="29" fillId="5" borderId="0" xfId="0" applyFont="1" applyFill="1" applyAlignment="1">
      <alignment horizontal="center" vertical="center"/>
    </xf>
    <xf numFmtId="0" fontId="0" fillId="5" borderId="0" xfId="0" applyFont="1" applyFill="1"/>
    <xf numFmtId="0" fontId="53" fillId="0" borderId="0" xfId="0" applyFont="1" applyAlignment="1">
      <alignment horizontal="left" vertical="top" wrapText="1"/>
    </xf>
    <xf numFmtId="0" fontId="53" fillId="0" borderId="0" xfId="0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/>
    <xf numFmtId="0" fontId="2" fillId="0" borderId="0" xfId="0" applyFont="1" applyAlignment="1">
      <alignment horizontal="left" vertical="top" wrapText="1"/>
    </xf>
    <xf numFmtId="0" fontId="31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" fontId="6" fillId="0" borderId="13" xfId="0" applyNumberFormat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4" fontId="52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80" fontId="20" fillId="0" borderId="0" xfId="0" applyNumberFormat="1" applyFont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0" fillId="3" borderId="15" xfId="0" applyFont="1" applyFill="1" applyBorder="1" applyAlignment="1">
      <alignment vertical="center"/>
    </xf>
    <xf numFmtId="4" fontId="3" fillId="3" borderId="15" xfId="0" applyNumberFormat="1" applyFont="1" applyFill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81" fontId="1" fillId="0" borderId="0" xfId="0" applyNumberFormat="1" applyFont="1" applyAlignment="1">
      <alignment horizontal="left" vertical="center"/>
    </xf>
    <xf numFmtId="0" fontId="36" fillId="0" borderId="24" xfId="0" applyFont="1" applyBorder="1" applyAlignment="1">
      <alignment horizontal="center" vertical="center"/>
    </xf>
    <xf numFmtId="0" fontId="36" fillId="0" borderId="18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right" vertical="center"/>
    </xf>
    <xf numFmtId="4" fontId="35" fillId="0" borderId="0" xfId="0" applyNumberFormat="1" applyFont="1" applyAlignment="1">
      <alignment horizontal="right" vertical="center"/>
    </xf>
    <xf numFmtId="4" fontId="35" fillId="0" borderId="0" xfId="0" applyNumberFormat="1" applyFont="1" applyAlignment="1">
      <alignment vertical="center"/>
    </xf>
    <xf numFmtId="4" fontId="51" fillId="0" borderId="0" xfId="0" applyNumberFormat="1" applyFont="1" applyAlignment="1">
      <alignment vertical="center"/>
    </xf>
    <xf numFmtId="0" fontId="5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6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7" xfId="0" applyFont="1" applyBorder="1" applyAlignment="1">
      <alignment horizontal="left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center" wrapText="1"/>
    </xf>
    <xf numFmtId="0" fontId="12" fillId="0" borderId="7" xfId="0" applyFont="1" applyBorder="1" applyAlignment="1">
      <alignment horizontal="left" wrapText="1"/>
    </xf>
    <xf numFmtId="49" fontId="13" fillId="0" borderId="0" xfId="0" applyNumberFormat="1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7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86EC3DAD-CB63-A000-E322-B27BE127AB1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8560023C-BA75-6706-326B-7E3B546FFA9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1276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2B9506DE-6850-BA60-D312-2ECF37FE9B7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2300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7814457D-BA04-F3E2-666F-A8CEA8E772D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3324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97B35A8C-0728-1DB1-6E76-6671E0271A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4348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2664C802-9F5A-2A81-3C4C-F696328E79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537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AC2206E-8694-24A6-C58C-2A8DBCB8B7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6396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8E980F95-F5A9-265A-0B51-D9D49BBF1BB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7420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C816C41-5281-D647-C41A-E5307CCE2E8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8444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BC207048-95B3-8390-61FC-B258974A311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9468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8AA2E91E-8AED-B385-AAC9-34C34FEE2DB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060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AE876736-3CF8-7485-6526-2CADD157004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049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90DC0B92-E8ED-0DAB-AAB1-B5AD6859DD5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1516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57290AE-AD64-0EB6-8B57-CCABF1A2FFD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3084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74A0D8F8-F93C-D90D-AF85-CA89D51F534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4108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E2D9E31B-C4F9-2271-758F-44035040CFB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513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E935BC08-89A1-1813-A509-E4A8AEFBF5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6156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4EA2AD84-748D-AC2B-AF79-33F68046E63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7180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5FD3B118-90E7-A571-3A60-C9349869552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8204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41A5B3BA-CA4C-8C36-C8D7-17D017947DEB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9228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D3AC4B75-B7E0-653E-3DC4-96D81272DBA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0.xml"/><Relationship Id="rId3" Type="http://schemas.openxmlformats.org/officeDocument/2006/relationships/hyperlink" Target="https://podminky.urs.cz/item/CS_URS_2023_01/181111121" TargetMode="External"/><Relationship Id="rId7" Type="http://schemas.openxmlformats.org/officeDocument/2006/relationships/hyperlink" Target="https://podminky.urs.cz/item/CS_URS_2023_01/184813521" TargetMode="External"/><Relationship Id="rId2" Type="http://schemas.openxmlformats.org/officeDocument/2006/relationships/hyperlink" Target="https://podminky.urs.cz/item/CS_URS_2023_01/167151101" TargetMode="External"/><Relationship Id="rId1" Type="http://schemas.openxmlformats.org/officeDocument/2006/relationships/hyperlink" Target="https://podminky.urs.cz/item/CS_URS_2023_01/162751117" TargetMode="External"/><Relationship Id="rId6" Type="http://schemas.openxmlformats.org/officeDocument/2006/relationships/hyperlink" Target="https://podminky.urs.cz/item/CS_URS_2023_01/183402121" TargetMode="External"/><Relationship Id="rId5" Type="http://schemas.openxmlformats.org/officeDocument/2006/relationships/hyperlink" Target="https://podminky.urs.cz/item/CS_URS_2023_01/181411131" TargetMode="External"/><Relationship Id="rId4" Type="http://schemas.openxmlformats.org/officeDocument/2006/relationships/hyperlink" Target="https://podminky.urs.cz/item/CS_URS_2023_01/181351103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51201" TargetMode="External"/><Relationship Id="rId13" Type="http://schemas.openxmlformats.org/officeDocument/2006/relationships/hyperlink" Target="https://podminky.urs.cz/item/CS_URS_2023_01/596211114" TargetMode="External"/><Relationship Id="rId3" Type="http://schemas.openxmlformats.org/officeDocument/2006/relationships/hyperlink" Target="https://podminky.urs.cz/item/CS_URS_2023_01/129001101" TargetMode="External"/><Relationship Id="rId7" Type="http://schemas.openxmlformats.org/officeDocument/2006/relationships/hyperlink" Target="https://podminky.urs.cz/item/CS_URS_2023_01/171201221" TargetMode="External"/><Relationship Id="rId12" Type="http://schemas.openxmlformats.org/officeDocument/2006/relationships/hyperlink" Target="https://podminky.urs.cz/item/CS_URS_2023_01/596211110" TargetMode="External"/><Relationship Id="rId17" Type="http://schemas.openxmlformats.org/officeDocument/2006/relationships/drawing" Target="../drawings/drawing11.xml"/><Relationship Id="rId2" Type="http://schemas.openxmlformats.org/officeDocument/2006/relationships/hyperlink" Target="https://podminky.urs.cz/item/CS_URS_2023_01/122151104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3_01/121151113" TargetMode="External"/><Relationship Id="rId6" Type="http://schemas.openxmlformats.org/officeDocument/2006/relationships/hyperlink" Target="https://podminky.urs.cz/item/CS_URS_2023_01/162751119" TargetMode="External"/><Relationship Id="rId11" Type="http://schemas.openxmlformats.org/officeDocument/2006/relationships/hyperlink" Target="https://podminky.urs.cz/item/CS_URS_2023_01/564871011" TargetMode="External"/><Relationship Id="rId5" Type="http://schemas.openxmlformats.org/officeDocument/2006/relationships/hyperlink" Target="https://podminky.urs.cz/item/CS_URS_2023_01/162751117" TargetMode="External"/><Relationship Id="rId15" Type="http://schemas.openxmlformats.org/officeDocument/2006/relationships/hyperlink" Target="https://podminky.urs.cz/item/CS_URS_2023_01/998223011" TargetMode="External"/><Relationship Id="rId10" Type="http://schemas.openxmlformats.org/officeDocument/2006/relationships/hyperlink" Target="https://podminky.urs.cz/item/CS_URS_2023_01/561041111" TargetMode="External"/><Relationship Id="rId4" Type="http://schemas.openxmlformats.org/officeDocument/2006/relationships/hyperlink" Target="https://podminky.urs.cz/item/CS_URS_2023_01/162351103" TargetMode="External"/><Relationship Id="rId9" Type="http://schemas.openxmlformats.org/officeDocument/2006/relationships/hyperlink" Target="https://podminky.urs.cz/item/CS_URS_2023_01/181152302" TargetMode="External"/><Relationship Id="rId14" Type="http://schemas.openxmlformats.org/officeDocument/2006/relationships/hyperlink" Target="https://podminky.urs.cz/item/CS_URS_2023_01/916231213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01221" TargetMode="External"/><Relationship Id="rId13" Type="http://schemas.openxmlformats.org/officeDocument/2006/relationships/hyperlink" Target="https://podminky.urs.cz/item/CS_URS_2023_01/564871111" TargetMode="External"/><Relationship Id="rId18" Type="http://schemas.openxmlformats.org/officeDocument/2006/relationships/hyperlink" Target="https://podminky.urs.cz/item/CS_URS_2023_01/997221612" TargetMode="External"/><Relationship Id="rId3" Type="http://schemas.openxmlformats.org/officeDocument/2006/relationships/hyperlink" Target="https://podminky.urs.cz/item/CS_URS_2023_01/113202111" TargetMode="External"/><Relationship Id="rId21" Type="http://schemas.openxmlformats.org/officeDocument/2006/relationships/hyperlink" Target="https://podminky.urs.cz/item/CS_URS_2023_01/998711101" TargetMode="External"/><Relationship Id="rId7" Type="http://schemas.openxmlformats.org/officeDocument/2006/relationships/hyperlink" Target="https://podminky.urs.cz/item/CS_URS_2023_01/162751119" TargetMode="External"/><Relationship Id="rId12" Type="http://schemas.openxmlformats.org/officeDocument/2006/relationships/hyperlink" Target="https://podminky.urs.cz/item/CS_URS_2023_01/561041111" TargetMode="External"/><Relationship Id="rId17" Type="http://schemas.openxmlformats.org/officeDocument/2006/relationships/hyperlink" Target="https://podminky.urs.cz/item/CS_URS_2023_01/997221571" TargetMode="External"/><Relationship Id="rId2" Type="http://schemas.openxmlformats.org/officeDocument/2006/relationships/hyperlink" Target="https://podminky.urs.cz/item/CS_URS_2023_01/113107223" TargetMode="External"/><Relationship Id="rId16" Type="http://schemas.openxmlformats.org/officeDocument/2006/relationships/hyperlink" Target="https://podminky.urs.cz/item/CS_URS_2023_01/916231213" TargetMode="External"/><Relationship Id="rId20" Type="http://schemas.openxmlformats.org/officeDocument/2006/relationships/hyperlink" Target="https://podminky.urs.cz/item/CS_URS_2023_01/711161212" TargetMode="External"/><Relationship Id="rId1" Type="http://schemas.openxmlformats.org/officeDocument/2006/relationships/hyperlink" Target="https://podminky.urs.cz/item/CS_URS_2023_01/113106142" TargetMode="External"/><Relationship Id="rId6" Type="http://schemas.openxmlformats.org/officeDocument/2006/relationships/hyperlink" Target="https://podminky.urs.cz/item/CS_URS_2023_01/162751117" TargetMode="External"/><Relationship Id="rId11" Type="http://schemas.openxmlformats.org/officeDocument/2006/relationships/hyperlink" Target="https://podminky.urs.cz/item/CS_URS_2023_01/279311115" TargetMode="External"/><Relationship Id="rId5" Type="http://schemas.openxmlformats.org/officeDocument/2006/relationships/hyperlink" Target="https://podminky.urs.cz/item/CS_URS_2023_01/129001101" TargetMode="External"/><Relationship Id="rId15" Type="http://schemas.openxmlformats.org/officeDocument/2006/relationships/hyperlink" Target="https://podminky.urs.cz/item/CS_URS_2023_01/596211114" TargetMode="External"/><Relationship Id="rId10" Type="http://schemas.openxmlformats.org/officeDocument/2006/relationships/hyperlink" Target="https://podminky.urs.cz/item/CS_URS_2023_01/181152302" TargetMode="External"/><Relationship Id="rId19" Type="http://schemas.openxmlformats.org/officeDocument/2006/relationships/hyperlink" Target="https://podminky.urs.cz/item/CS_URS_2023_01/998223011" TargetMode="External"/><Relationship Id="rId4" Type="http://schemas.openxmlformats.org/officeDocument/2006/relationships/hyperlink" Target="https://podminky.urs.cz/item/CS_URS_2023_01/122151104" TargetMode="External"/><Relationship Id="rId9" Type="http://schemas.openxmlformats.org/officeDocument/2006/relationships/hyperlink" Target="https://podminky.urs.cz/item/CS_URS_2023_01/171251201" TargetMode="External"/><Relationship Id="rId14" Type="http://schemas.openxmlformats.org/officeDocument/2006/relationships/hyperlink" Target="https://podminky.urs.cz/item/CS_URS_2023_01/596211113" TargetMode="External"/><Relationship Id="rId22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9" TargetMode="External"/><Relationship Id="rId13" Type="http://schemas.openxmlformats.org/officeDocument/2006/relationships/hyperlink" Target="https://podminky.urs.cz/item/CS_URS_2023_01/567541111" TargetMode="External"/><Relationship Id="rId18" Type="http://schemas.openxmlformats.org/officeDocument/2006/relationships/hyperlink" Target="https://podminky.urs.cz/item/CS_URS_2023_01/914511113" TargetMode="External"/><Relationship Id="rId26" Type="http://schemas.openxmlformats.org/officeDocument/2006/relationships/hyperlink" Target="https://podminky.urs.cz/item/CS_URS_2023_01/997221571" TargetMode="External"/><Relationship Id="rId3" Type="http://schemas.openxmlformats.org/officeDocument/2006/relationships/hyperlink" Target="https://podminky.urs.cz/item/CS_URS_2023_01/122151102" TargetMode="External"/><Relationship Id="rId21" Type="http://schemas.openxmlformats.org/officeDocument/2006/relationships/hyperlink" Target="https://podminky.urs.cz/item/CS_URS_2023_01/915611111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561041111" TargetMode="External"/><Relationship Id="rId17" Type="http://schemas.openxmlformats.org/officeDocument/2006/relationships/hyperlink" Target="https://podminky.urs.cz/item/CS_URS_2023_01/914111111" TargetMode="External"/><Relationship Id="rId25" Type="http://schemas.openxmlformats.org/officeDocument/2006/relationships/hyperlink" Target="https://podminky.urs.cz/item/CS_URS_2023_01/938909311" TargetMode="External"/><Relationship Id="rId2" Type="http://schemas.openxmlformats.org/officeDocument/2006/relationships/hyperlink" Target="https://podminky.urs.cz/item/CS_URS_2023_01/121151103" TargetMode="External"/><Relationship Id="rId16" Type="http://schemas.openxmlformats.org/officeDocument/2006/relationships/hyperlink" Target="https://podminky.urs.cz/item/CS_URS_2023_01/596211212" TargetMode="External"/><Relationship Id="rId20" Type="http://schemas.openxmlformats.org/officeDocument/2006/relationships/hyperlink" Target="https://podminky.urs.cz/item/CS_URS_2023_01/915211111" TargetMode="External"/><Relationship Id="rId1" Type="http://schemas.openxmlformats.org/officeDocument/2006/relationships/hyperlink" Target="https://podminky.urs.cz/item/CS_URS_2023_01/113106222" TargetMode="External"/><Relationship Id="rId6" Type="http://schemas.openxmlformats.org/officeDocument/2006/relationships/hyperlink" Target="https://podminky.urs.cz/item/CS_URS_2023_01/162351104" TargetMode="External"/><Relationship Id="rId11" Type="http://schemas.openxmlformats.org/officeDocument/2006/relationships/hyperlink" Target="https://podminky.urs.cz/item/CS_URS_2023_01/181152302" TargetMode="External"/><Relationship Id="rId24" Type="http://schemas.openxmlformats.org/officeDocument/2006/relationships/hyperlink" Target="https://podminky.urs.cz/item/CS_URS_2023_01/938908411" TargetMode="External"/><Relationship Id="rId5" Type="http://schemas.openxmlformats.org/officeDocument/2006/relationships/hyperlink" Target="https://podminky.urs.cz/item/CS_URS_2023_01/132351101" TargetMode="External"/><Relationship Id="rId15" Type="http://schemas.openxmlformats.org/officeDocument/2006/relationships/hyperlink" Target="https://podminky.urs.cz/item/CS_URS_2023_01/567533111" TargetMode="External"/><Relationship Id="rId23" Type="http://schemas.openxmlformats.org/officeDocument/2006/relationships/hyperlink" Target="https://podminky.urs.cz/item/CS_URS_2023_01/916131213" TargetMode="External"/><Relationship Id="rId28" Type="http://schemas.openxmlformats.org/officeDocument/2006/relationships/drawing" Target="../drawings/drawing13.xml"/><Relationship Id="rId10" Type="http://schemas.openxmlformats.org/officeDocument/2006/relationships/hyperlink" Target="https://podminky.urs.cz/item/CS_URS_2023_01/171251201" TargetMode="External"/><Relationship Id="rId19" Type="http://schemas.openxmlformats.org/officeDocument/2006/relationships/hyperlink" Target="https://podminky.urs.cz/item/CS_URS_2023_01/915131111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171201221" TargetMode="External"/><Relationship Id="rId14" Type="http://schemas.openxmlformats.org/officeDocument/2006/relationships/hyperlink" Target="https://podminky.urs.cz/item/CS_URS_2023_01/567532112" TargetMode="External"/><Relationship Id="rId22" Type="http://schemas.openxmlformats.org/officeDocument/2006/relationships/hyperlink" Target="https://podminky.urs.cz/item/CS_URS_2023_01/915621111" TargetMode="External"/><Relationship Id="rId27" Type="http://schemas.openxmlformats.org/officeDocument/2006/relationships/hyperlink" Target="https://podminky.urs.cz/item/CS_URS_2023_01/998223011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73111113" TargetMode="External"/><Relationship Id="rId13" Type="http://schemas.openxmlformats.org/officeDocument/2006/relationships/hyperlink" Target="https://podminky.urs.cz/item/CS_URS_2023_01/938908411" TargetMode="External"/><Relationship Id="rId18" Type="http://schemas.openxmlformats.org/officeDocument/2006/relationships/hyperlink" Target="https://podminky.urs.cz/item/CS_URS_2023_01/997013631" TargetMode="External"/><Relationship Id="rId3" Type="http://schemas.openxmlformats.org/officeDocument/2006/relationships/hyperlink" Target="https://podminky.urs.cz/item/CS_URS_2023_01/162351103" TargetMode="External"/><Relationship Id="rId7" Type="http://schemas.openxmlformats.org/officeDocument/2006/relationships/hyperlink" Target="https://podminky.urs.cz/item/CS_URS_2023_01/567533121" TargetMode="External"/><Relationship Id="rId12" Type="http://schemas.openxmlformats.org/officeDocument/2006/relationships/hyperlink" Target="https://podminky.urs.cz/item/CS_URS_2023_01/916131213" TargetMode="External"/><Relationship Id="rId17" Type="http://schemas.openxmlformats.org/officeDocument/2006/relationships/hyperlink" Target="https://podminky.urs.cz/item/CS_URS_2023_01/997221571" TargetMode="External"/><Relationship Id="rId2" Type="http://schemas.openxmlformats.org/officeDocument/2006/relationships/hyperlink" Target="https://podminky.urs.cz/item/CS_URS_2023_01/132351102" TargetMode="External"/><Relationship Id="rId16" Type="http://schemas.openxmlformats.org/officeDocument/2006/relationships/hyperlink" Target="https://podminky.urs.cz/item/CS_URS_2023_01/997221579" TargetMode="External"/><Relationship Id="rId20" Type="http://schemas.openxmlformats.org/officeDocument/2006/relationships/drawing" Target="../drawings/drawing14.xml"/><Relationship Id="rId1" Type="http://schemas.openxmlformats.org/officeDocument/2006/relationships/hyperlink" Target="https://podminky.urs.cz/item/CS_URS_2023_01/121151103" TargetMode="External"/><Relationship Id="rId6" Type="http://schemas.openxmlformats.org/officeDocument/2006/relationships/hyperlink" Target="https://podminky.urs.cz/item/CS_URS_2023_01/567532122" TargetMode="External"/><Relationship Id="rId11" Type="http://schemas.openxmlformats.org/officeDocument/2006/relationships/hyperlink" Target="https://podminky.urs.cz/item/CS_URS_2023_01/914511113" TargetMode="External"/><Relationship Id="rId5" Type="http://schemas.openxmlformats.org/officeDocument/2006/relationships/hyperlink" Target="https://podminky.urs.cz/item/CS_URS_2023_01/567541121" TargetMode="External"/><Relationship Id="rId15" Type="http://schemas.openxmlformats.org/officeDocument/2006/relationships/hyperlink" Target="https://podminky.urs.cz/item/CS_URS_2023_01/966006132" TargetMode="External"/><Relationship Id="rId10" Type="http://schemas.openxmlformats.org/officeDocument/2006/relationships/hyperlink" Target="https://podminky.urs.cz/item/CS_URS_2023_01/914111111" TargetMode="External"/><Relationship Id="rId19" Type="http://schemas.openxmlformats.org/officeDocument/2006/relationships/hyperlink" Target="https://podminky.urs.cz/item/CS_URS_2023_01/998225111" TargetMode="External"/><Relationship Id="rId4" Type="http://schemas.openxmlformats.org/officeDocument/2006/relationships/hyperlink" Target="https://podminky.urs.cz/item/CS_URS_2023_01/181152302" TargetMode="External"/><Relationship Id="rId9" Type="http://schemas.openxmlformats.org/officeDocument/2006/relationships/hyperlink" Target="https://podminky.urs.cz/item/CS_URS_2023_01/577144111" TargetMode="External"/><Relationship Id="rId14" Type="http://schemas.openxmlformats.org/officeDocument/2006/relationships/hyperlink" Target="https://podminky.urs.cz/item/CS_URS_2023_01/938909311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938908411" TargetMode="External"/><Relationship Id="rId2" Type="http://schemas.openxmlformats.org/officeDocument/2006/relationships/hyperlink" Target="https://podminky.urs.cz/item/CS_URS_2023_01/915611111" TargetMode="External"/><Relationship Id="rId1" Type="http://schemas.openxmlformats.org/officeDocument/2006/relationships/hyperlink" Target="https://podminky.urs.cz/item/CS_URS_2023_01/915321115" TargetMode="External"/><Relationship Id="rId5" Type="http://schemas.openxmlformats.org/officeDocument/2006/relationships/drawing" Target="../drawings/drawing15.xml"/><Relationship Id="rId4" Type="http://schemas.openxmlformats.org/officeDocument/2006/relationships/hyperlink" Target="https://podminky.urs.cz/item/CS_URS_2023_01/998229111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96211214" TargetMode="External"/><Relationship Id="rId13" Type="http://schemas.openxmlformats.org/officeDocument/2006/relationships/drawing" Target="../drawings/drawing16.xml"/><Relationship Id="rId3" Type="http://schemas.openxmlformats.org/officeDocument/2006/relationships/hyperlink" Target="https://podminky.urs.cz/item/CS_URS_2023_01/129001101" TargetMode="External"/><Relationship Id="rId7" Type="http://schemas.openxmlformats.org/officeDocument/2006/relationships/hyperlink" Target="https://podminky.urs.cz/item/CS_URS_2023_01/596211212" TargetMode="External"/><Relationship Id="rId12" Type="http://schemas.openxmlformats.org/officeDocument/2006/relationships/hyperlink" Target="https://podminky.urs.cz/item/CS_URS_2023_01/998223011" TargetMode="External"/><Relationship Id="rId2" Type="http://schemas.openxmlformats.org/officeDocument/2006/relationships/hyperlink" Target="https://podminky.urs.cz/item/CS_URS_2023_01/113107163" TargetMode="External"/><Relationship Id="rId1" Type="http://schemas.openxmlformats.org/officeDocument/2006/relationships/hyperlink" Target="https://podminky.urs.cz/item/CS_URS_2023_01/113106142" TargetMode="External"/><Relationship Id="rId6" Type="http://schemas.openxmlformats.org/officeDocument/2006/relationships/hyperlink" Target="https://podminky.urs.cz/item/CS_URS_2023_01/564871111" TargetMode="External"/><Relationship Id="rId11" Type="http://schemas.openxmlformats.org/officeDocument/2006/relationships/hyperlink" Target="https://podminky.urs.cz/item/CS_URS_2023_01/997221612" TargetMode="External"/><Relationship Id="rId5" Type="http://schemas.openxmlformats.org/officeDocument/2006/relationships/hyperlink" Target="https://podminky.urs.cz/item/CS_URS_2023_01/561041111" TargetMode="External"/><Relationship Id="rId10" Type="http://schemas.openxmlformats.org/officeDocument/2006/relationships/hyperlink" Target="https://podminky.urs.cz/item/CS_URS_2023_01/997221571" TargetMode="External"/><Relationship Id="rId4" Type="http://schemas.openxmlformats.org/officeDocument/2006/relationships/hyperlink" Target="https://podminky.urs.cz/item/CS_URS_2023_01/181152302" TargetMode="External"/><Relationship Id="rId9" Type="http://schemas.openxmlformats.org/officeDocument/2006/relationships/hyperlink" Target="https://podminky.urs.cz/item/CS_URS_2023_01/916131213" TargetMode="External"/></Relationships>
</file>

<file path=xl/worksheets/_rels/sheet1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9" TargetMode="External"/><Relationship Id="rId18" Type="http://schemas.openxmlformats.org/officeDocument/2006/relationships/hyperlink" Target="https://podminky.urs.cz/item/CS_URS_2023_01/452311131" TargetMode="External"/><Relationship Id="rId26" Type="http://schemas.openxmlformats.org/officeDocument/2006/relationships/hyperlink" Target="https://podminky.urs.cz/item/CS_URS_2023_01/877310320" TargetMode="External"/><Relationship Id="rId39" Type="http://schemas.openxmlformats.org/officeDocument/2006/relationships/hyperlink" Target="https://podminky.urs.cz/item/CS_URS_2023_01/899721111" TargetMode="External"/><Relationship Id="rId21" Type="http://schemas.openxmlformats.org/officeDocument/2006/relationships/hyperlink" Target="https://podminky.urs.cz/item/CS_URS_2023_01/591241111" TargetMode="External"/><Relationship Id="rId34" Type="http://schemas.openxmlformats.org/officeDocument/2006/relationships/hyperlink" Target="https://podminky.urs.cz/item/CS_URS_2023_01/895941302" TargetMode="External"/><Relationship Id="rId42" Type="http://schemas.openxmlformats.org/officeDocument/2006/relationships/hyperlink" Target="https://podminky.urs.cz/item/CS_URS_2023_01/935113112" TargetMode="External"/><Relationship Id="rId47" Type="http://schemas.openxmlformats.org/officeDocument/2006/relationships/hyperlink" Target="https://podminky.urs.cz/item/CS_URS_2023_01/997221579" TargetMode="External"/><Relationship Id="rId50" Type="http://schemas.openxmlformats.org/officeDocument/2006/relationships/hyperlink" Target="https://podminky.urs.cz/item/CS_URS_2023_01/998276101" TargetMode="External"/><Relationship Id="rId7" Type="http://schemas.openxmlformats.org/officeDocument/2006/relationships/hyperlink" Target="https://podminky.urs.cz/item/CS_URS_2023_01/131251100" TargetMode="External"/><Relationship Id="rId2" Type="http://schemas.openxmlformats.org/officeDocument/2006/relationships/hyperlink" Target="https://podminky.urs.cz/item/CS_URS_2023_01/113107542" TargetMode="External"/><Relationship Id="rId16" Type="http://schemas.openxmlformats.org/officeDocument/2006/relationships/hyperlink" Target="https://podminky.urs.cz/item/CS_URS_2023_01/175151101" TargetMode="External"/><Relationship Id="rId29" Type="http://schemas.openxmlformats.org/officeDocument/2006/relationships/hyperlink" Target="https://podminky.urs.cz/item/CS_URS_2023_01/892421111" TargetMode="External"/><Relationship Id="rId11" Type="http://schemas.openxmlformats.org/officeDocument/2006/relationships/hyperlink" Target="https://podminky.urs.cz/item/CS_URS_2023_01/151811141" TargetMode="External"/><Relationship Id="rId24" Type="http://schemas.openxmlformats.org/officeDocument/2006/relationships/hyperlink" Target="https://podminky.urs.cz/item/CS_URS_2023_01/871420310" TargetMode="External"/><Relationship Id="rId32" Type="http://schemas.openxmlformats.org/officeDocument/2006/relationships/hyperlink" Target="https://podminky.urs.cz/item/CS_URS_2023_01/894410212" TargetMode="External"/><Relationship Id="rId37" Type="http://schemas.openxmlformats.org/officeDocument/2006/relationships/hyperlink" Target="https://podminky.urs.cz/item/CS_URS_2023_01/899104112" TargetMode="External"/><Relationship Id="rId40" Type="http://schemas.openxmlformats.org/officeDocument/2006/relationships/hyperlink" Target="https://podminky.urs.cz/item/CS_URS_2023_01/899722113" TargetMode="External"/><Relationship Id="rId45" Type="http://schemas.openxmlformats.org/officeDocument/2006/relationships/hyperlink" Target="https://podminky.urs.cz/item/CS_URS_2023_01/977151124" TargetMode="External"/><Relationship Id="rId53" Type="http://schemas.openxmlformats.org/officeDocument/2006/relationships/drawing" Target="../drawings/drawing17.xml"/><Relationship Id="rId5" Type="http://schemas.openxmlformats.org/officeDocument/2006/relationships/hyperlink" Target="https://podminky.urs.cz/item/CS_URS_2023_01/129001101" TargetMode="External"/><Relationship Id="rId10" Type="http://schemas.openxmlformats.org/officeDocument/2006/relationships/hyperlink" Target="https://podminky.urs.cz/item/CS_URS_2023_01/151811131" TargetMode="External"/><Relationship Id="rId19" Type="http://schemas.openxmlformats.org/officeDocument/2006/relationships/hyperlink" Target="https://podminky.urs.cz/item/CS_URS_2023_01/452311151" TargetMode="External"/><Relationship Id="rId31" Type="http://schemas.openxmlformats.org/officeDocument/2006/relationships/hyperlink" Target="https://podminky.urs.cz/item/CS_URS_2023_01/894410211" TargetMode="External"/><Relationship Id="rId44" Type="http://schemas.openxmlformats.org/officeDocument/2006/relationships/hyperlink" Target="https://podminky.urs.cz/item/CS_URS_2023_01/935923218" TargetMode="External"/><Relationship Id="rId52" Type="http://schemas.openxmlformats.org/officeDocument/2006/relationships/hyperlink" Target="https://podminky.urs.cz/item/CS_URS_2023_01/721249109" TargetMode="External"/><Relationship Id="rId4" Type="http://schemas.openxmlformats.org/officeDocument/2006/relationships/hyperlink" Target="https://podminky.urs.cz/item/CS_URS_2023_01/115101302" TargetMode="External"/><Relationship Id="rId9" Type="http://schemas.openxmlformats.org/officeDocument/2006/relationships/hyperlink" Target="https://podminky.urs.cz/item/CS_URS_2023_01/132254204" TargetMode="External"/><Relationship Id="rId14" Type="http://schemas.openxmlformats.org/officeDocument/2006/relationships/hyperlink" Target="https://podminky.urs.cz/item/CS_URS_2023_01/171201221" TargetMode="External"/><Relationship Id="rId22" Type="http://schemas.openxmlformats.org/officeDocument/2006/relationships/hyperlink" Target="https://podminky.urs.cz/item/CS_URS_2023_01/830361811" TargetMode="External"/><Relationship Id="rId27" Type="http://schemas.openxmlformats.org/officeDocument/2006/relationships/hyperlink" Target="https://podminky.urs.cz/item/CS_URS_2023_01/877420330" TargetMode="External"/><Relationship Id="rId30" Type="http://schemas.openxmlformats.org/officeDocument/2006/relationships/hyperlink" Target="https://podminky.urs.cz/item/CS_URS_2023_01/894410103" TargetMode="External"/><Relationship Id="rId35" Type="http://schemas.openxmlformats.org/officeDocument/2006/relationships/hyperlink" Target="https://podminky.urs.cz/item/CS_URS_2023_01/895941314" TargetMode="External"/><Relationship Id="rId43" Type="http://schemas.openxmlformats.org/officeDocument/2006/relationships/hyperlink" Target="https://podminky.urs.cz/item/CS_URS_2023_01/935113212" TargetMode="External"/><Relationship Id="rId48" Type="http://schemas.openxmlformats.org/officeDocument/2006/relationships/hyperlink" Target="https://podminky.urs.cz/item/CS_URS_2023_01/997221612" TargetMode="External"/><Relationship Id="rId8" Type="http://schemas.openxmlformats.org/officeDocument/2006/relationships/hyperlink" Target="https://podminky.urs.cz/item/CS_URS_2023_01/132154205" TargetMode="External"/><Relationship Id="rId51" Type="http://schemas.openxmlformats.org/officeDocument/2006/relationships/hyperlink" Target="https://podminky.urs.cz/item/CS_URS_2023_01/998276124" TargetMode="External"/><Relationship Id="rId3" Type="http://schemas.openxmlformats.org/officeDocument/2006/relationships/hyperlink" Target="https://podminky.urs.cz/item/CS_URS_2023_01/115101202" TargetMode="External"/><Relationship Id="rId12" Type="http://schemas.openxmlformats.org/officeDocument/2006/relationships/hyperlink" Target="https://podminky.urs.cz/item/CS_URS_2023_01/162751117" TargetMode="External"/><Relationship Id="rId17" Type="http://schemas.openxmlformats.org/officeDocument/2006/relationships/hyperlink" Target="https://podminky.urs.cz/item/CS_URS_2023_01/451572111" TargetMode="External"/><Relationship Id="rId25" Type="http://schemas.openxmlformats.org/officeDocument/2006/relationships/hyperlink" Target="https://podminky.urs.cz/item/CS_URS_2023_01/877310310" TargetMode="External"/><Relationship Id="rId33" Type="http://schemas.openxmlformats.org/officeDocument/2006/relationships/hyperlink" Target="https://podminky.urs.cz/item/CS_URS_2023_01/894410232" TargetMode="External"/><Relationship Id="rId38" Type="http://schemas.openxmlformats.org/officeDocument/2006/relationships/hyperlink" Target="https://podminky.urs.cz/item/CS_URS_2023_01/899204112" TargetMode="External"/><Relationship Id="rId46" Type="http://schemas.openxmlformats.org/officeDocument/2006/relationships/hyperlink" Target="https://podminky.urs.cz/item/CS_URS_2023_01/997221571" TargetMode="External"/><Relationship Id="rId20" Type="http://schemas.openxmlformats.org/officeDocument/2006/relationships/hyperlink" Target="https://podminky.urs.cz/item/CS_URS_2023_01/452386111" TargetMode="External"/><Relationship Id="rId41" Type="http://schemas.openxmlformats.org/officeDocument/2006/relationships/hyperlink" Target="https://podminky.urs.cz/item/CS_URS_2023_01/919735111" TargetMode="External"/><Relationship Id="rId1" Type="http://schemas.openxmlformats.org/officeDocument/2006/relationships/hyperlink" Target="https://podminky.urs.cz/item/CS_URS_2023_01/113107526" TargetMode="External"/><Relationship Id="rId6" Type="http://schemas.openxmlformats.org/officeDocument/2006/relationships/hyperlink" Target="https://podminky.urs.cz/item/CS_URS_2023_01/131151102" TargetMode="External"/><Relationship Id="rId15" Type="http://schemas.openxmlformats.org/officeDocument/2006/relationships/hyperlink" Target="https://podminky.urs.cz/item/CS_URS_2023_01/174152101" TargetMode="External"/><Relationship Id="rId23" Type="http://schemas.openxmlformats.org/officeDocument/2006/relationships/hyperlink" Target="https://podminky.urs.cz/item/CS_URS_2023_01/871310310" TargetMode="External"/><Relationship Id="rId28" Type="http://schemas.openxmlformats.org/officeDocument/2006/relationships/hyperlink" Target="https://podminky.urs.cz/item/CS_URS_2023_01/892351111" TargetMode="External"/><Relationship Id="rId36" Type="http://schemas.openxmlformats.org/officeDocument/2006/relationships/hyperlink" Target="https://podminky.urs.cz/item/CS_URS_2023_01/895941331" TargetMode="External"/><Relationship Id="rId49" Type="http://schemas.openxmlformats.org/officeDocument/2006/relationships/hyperlink" Target="https://podminky.urs.cz/item/CS_URS_2023_01/997013631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41130026" TargetMode="External"/><Relationship Id="rId13" Type="http://schemas.openxmlformats.org/officeDocument/2006/relationships/hyperlink" Target="https://podminky.urs.cz/item/CS_URS_2023_01/998741193" TargetMode="External"/><Relationship Id="rId18" Type="http://schemas.openxmlformats.org/officeDocument/2006/relationships/hyperlink" Target="https://podminky.urs.cz/item/CS_URS_2023_01/218204011" TargetMode="External"/><Relationship Id="rId26" Type="http://schemas.openxmlformats.org/officeDocument/2006/relationships/hyperlink" Target="https://podminky.urs.cz/item/CS_URS_2023_01/460451192" TargetMode="External"/><Relationship Id="rId3" Type="http://schemas.openxmlformats.org/officeDocument/2006/relationships/hyperlink" Target="https://podminky.urs.cz/item/CS_URS_2023_01/741110314" TargetMode="External"/><Relationship Id="rId21" Type="http://schemas.openxmlformats.org/officeDocument/2006/relationships/hyperlink" Target="https://podminky.urs.cz/item/CS_URS_2023_01/460141112" TargetMode="External"/><Relationship Id="rId7" Type="http://schemas.openxmlformats.org/officeDocument/2006/relationships/hyperlink" Target="https://podminky.urs.cz/item/CS_URS_2023_01/741130021" TargetMode="External"/><Relationship Id="rId12" Type="http://schemas.openxmlformats.org/officeDocument/2006/relationships/hyperlink" Target="https://podminky.urs.cz/item/CS_URS_2023_01/998741101" TargetMode="External"/><Relationship Id="rId17" Type="http://schemas.openxmlformats.org/officeDocument/2006/relationships/hyperlink" Target="https://podminky.urs.cz/item/CS_URS_2023_01/210280131" TargetMode="External"/><Relationship Id="rId25" Type="http://schemas.openxmlformats.org/officeDocument/2006/relationships/hyperlink" Target="https://podminky.urs.cz/item/CS_URS_2023_01/460361111" TargetMode="External"/><Relationship Id="rId2" Type="http://schemas.openxmlformats.org/officeDocument/2006/relationships/hyperlink" Target="https://podminky.urs.cz/item/CS_URS_2023_01/741110312" TargetMode="External"/><Relationship Id="rId16" Type="http://schemas.openxmlformats.org/officeDocument/2006/relationships/hyperlink" Target="https://podminky.urs.cz/item/CS_URS_2023_01/210204201" TargetMode="External"/><Relationship Id="rId20" Type="http://schemas.openxmlformats.org/officeDocument/2006/relationships/hyperlink" Target="https://podminky.urs.cz/item/CS_URS_2023_01/220960021" TargetMode="External"/><Relationship Id="rId29" Type="http://schemas.openxmlformats.org/officeDocument/2006/relationships/hyperlink" Target="https://podminky.urs.cz/item/CS_URS_2023_01/460671113" TargetMode="External"/><Relationship Id="rId1" Type="http://schemas.openxmlformats.org/officeDocument/2006/relationships/hyperlink" Target="https://podminky.urs.cz/item/CS_URS_2023_01/945421110" TargetMode="External"/><Relationship Id="rId6" Type="http://schemas.openxmlformats.org/officeDocument/2006/relationships/hyperlink" Target="https://podminky.urs.cz/item/CS_URS_2023_01/741123224" TargetMode="External"/><Relationship Id="rId11" Type="http://schemas.openxmlformats.org/officeDocument/2006/relationships/hyperlink" Target="https://podminky.urs.cz/item/CS_URS_2023_01/741820102" TargetMode="External"/><Relationship Id="rId24" Type="http://schemas.openxmlformats.org/officeDocument/2006/relationships/hyperlink" Target="https://podminky.urs.cz/item/CS_URS_2023_01/460341121" TargetMode="External"/><Relationship Id="rId5" Type="http://schemas.openxmlformats.org/officeDocument/2006/relationships/hyperlink" Target="https://podminky.urs.cz/item/CS_URS_2023_01/741122131" TargetMode="External"/><Relationship Id="rId15" Type="http://schemas.openxmlformats.org/officeDocument/2006/relationships/hyperlink" Target="https://podminky.urs.cz/item/CS_URS_2023_01/210204011" TargetMode="External"/><Relationship Id="rId23" Type="http://schemas.openxmlformats.org/officeDocument/2006/relationships/hyperlink" Target="https://podminky.urs.cz/item/CS_URS_2023_01/460341113" TargetMode="External"/><Relationship Id="rId28" Type="http://schemas.openxmlformats.org/officeDocument/2006/relationships/hyperlink" Target="https://podminky.urs.cz/item/CS_URS_2023_01/460661112" TargetMode="External"/><Relationship Id="rId10" Type="http://schemas.openxmlformats.org/officeDocument/2006/relationships/hyperlink" Target="https://podminky.urs.cz/item/CS_URS_2023_01/741810002" TargetMode="External"/><Relationship Id="rId19" Type="http://schemas.openxmlformats.org/officeDocument/2006/relationships/hyperlink" Target="https://podminky.urs.cz/item/CS_URS_2023_01/220370445" TargetMode="External"/><Relationship Id="rId31" Type="http://schemas.openxmlformats.org/officeDocument/2006/relationships/drawing" Target="../drawings/drawing18.xml"/><Relationship Id="rId4" Type="http://schemas.openxmlformats.org/officeDocument/2006/relationships/hyperlink" Target="https://podminky.urs.cz/item/CS_URS_2023_01/741122122" TargetMode="External"/><Relationship Id="rId9" Type="http://schemas.openxmlformats.org/officeDocument/2006/relationships/hyperlink" Target="https://podminky.urs.cz/item/CS_URS_2023_01/741410021" TargetMode="External"/><Relationship Id="rId14" Type="http://schemas.openxmlformats.org/officeDocument/2006/relationships/hyperlink" Target="https://podminky.urs.cz/item/CS_URS_2023_01/210203901" TargetMode="External"/><Relationship Id="rId22" Type="http://schemas.openxmlformats.org/officeDocument/2006/relationships/hyperlink" Target="https://podminky.urs.cz/item/CS_URS_2023_01/460171182" TargetMode="External"/><Relationship Id="rId27" Type="http://schemas.openxmlformats.org/officeDocument/2006/relationships/hyperlink" Target="https://podminky.urs.cz/item/CS_URS_2023_01/460641113" TargetMode="External"/><Relationship Id="rId30" Type="http://schemas.openxmlformats.org/officeDocument/2006/relationships/hyperlink" Target="https://podminky.urs.cz/item/CS_URS_2023_01/469981111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341121" TargetMode="External"/><Relationship Id="rId13" Type="http://schemas.openxmlformats.org/officeDocument/2006/relationships/hyperlink" Target="https://podminky.urs.cz/item/CS_URS_2023_01/469981111" TargetMode="External"/><Relationship Id="rId3" Type="http://schemas.openxmlformats.org/officeDocument/2006/relationships/hyperlink" Target="https://podminky.urs.cz/item/CS_URS_2023_01/998742101" TargetMode="External"/><Relationship Id="rId7" Type="http://schemas.openxmlformats.org/officeDocument/2006/relationships/hyperlink" Target="https://podminky.urs.cz/item/CS_URS_2023_01/460341113" TargetMode="External"/><Relationship Id="rId12" Type="http://schemas.openxmlformats.org/officeDocument/2006/relationships/hyperlink" Target="https://podminky.urs.cz/item/CS_URS_2023_01/460671113" TargetMode="External"/><Relationship Id="rId2" Type="http://schemas.openxmlformats.org/officeDocument/2006/relationships/hyperlink" Target="https://podminky.urs.cz/item/CS_URS_2023_01/742110021" TargetMode="External"/><Relationship Id="rId1" Type="http://schemas.openxmlformats.org/officeDocument/2006/relationships/hyperlink" Target="https://podminky.urs.cz/item/CS_URS_2023_01/899721111" TargetMode="External"/><Relationship Id="rId6" Type="http://schemas.openxmlformats.org/officeDocument/2006/relationships/hyperlink" Target="https://podminky.urs.cz/item/CS_URS_2023_01/460171182" TargetMode="External"/><Relationship Id="rId11" Type="http://schemas.openxmlformats.org/officeDocument/2006/relationships/hyperlink" Target="https://podminky.urs.cz/item/CS_URS_2023_01/460661112" TargetMode="External"/><Relationship Id="rId5" Type="http://schemas.openxmlformats.org/officeDocument/2006/relationships/hyperlink" Target="https://podminky.urs.cz/item/CS_URS_2023_01/220182029" TargetMode="External"/><Relationship Id="rId15" Type="http://schemas.openxmlformats.org/officeDocument/2006/relationships/drawing" Target="../drawings/drawing19.xml"/><Relationship Id="rId10" Type="http://schemas.openxmlformats.org/officeDocument/2006/relationships/hyperlink" Target="https://podminky.urs.cz/item/CS_URS_2023_01/460451192" TargetMode="External"/><Relationship Id="rId4" Type="http://schemas.openxmlformats.org/officeDocument/2006/relationships/hyperlink" Target="https://podminky.urs.cz/item/CS_URS_2023_01/998742194" TargetMode="External"/><Relationship Id="rId9" Type="http://schemas.openxmlformats.org/officeDocument/2006/relationships/hyperlink" Target="https://podminky.urs.cz/item/CS_URS_2023_01/460361111" TargetMode="External"/><Relationship Id="rId14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9" TargetMode="External"/><Relationship Id="rId13" Type="http://schemas.openxmlformats.org/officeDocument/2006/relationships/hyperlink" Target="https://podminky.urs.cz/item/CS_URS_2023_01/596211113" TargetMode="External"/><Relationship Id="rId18" Type="http://schemas.openxmlformats.org/officeDocument/2006/relationships/hyperlink" Target="https://podminky.urs.cz/item/CS_URS_2023_01/997221571" TargetMode="External"/><Relationship Id="rId3" Type="http://schemas.openxmlformats.org/officeDocument/2006/relationships/hyperlink" Target="https://podminky.urs.cz/item/CS_URS_2023_01/113107223" TargetMode="External"/><Relationship Id="rId21" Type="http://schemas.openxmlformats.org/officeDocument/2006/relationships/hyperlink" Target="https://podminky.urs.cz/item/CS_URS_2023_01/711161212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564871111" TargetMode="External"/><Relationship Id="rId17" Type="http://schemas.openxmlformats.org/officeDocument/2006/relationships/hyperlink" Target="https://podminky.urs.cz/item/CS_URS_2023_01/979054451" TargetMode="External"/><Relationship Id="rId2" Type="http://schemas.openxmlformats.org/officeDocument/2006/relationships/hyperlink" Target="https://podminky.urs.cz/item/CS_URS_2023_01/113106142" TargetMode="External"/><Relationship Id="rId16" Type="http://schemas.openxmlformats.org/officeDocument/2006/relationships/hyperlink" Target="https://podminky.urs.cz/item/CS_URS_2023_01/916231213" TargetMode="External"/><Relationship Id="rId20" Type="http://schemas.openxmlformats.org/officeDocument/2006/relationships/hyperlink" Target="https://podminky.urs.cz/item/CS_URS_2023_01/998223011" TargetMode="External"/><Relationship Id="rId1" Type="http://schemas.openxmlformats.org/officeDocument/2006/relationships/hyperlink" Target="https://podminky.urs.cz/item/CS_URS_2023_01/113106123" TargetMode="External"/><Relationship Id="rId6" Type="http://schemas.openxmlformats.org/officeDocument/2006/relationships/hyperlink" Target="https://podminky.urs.cz/item/CS_URS_2023_01/129001101" TargetMode="External"/><Relationship Id="rId11" Type="http://schemas.openxmlformats.org/officeDocument/2006/relationships/hyperlink" Target="https://podminky.urs.cz/item/CS_URS_2023_01/561041111" TargetMode="External"/><Relationship Id="rId5" Type="http://schemas.openxmlformats.org/officeDocument/2006/relationships/hyperlink" Target="https://podminky.urs.cz/item/CS_URS_2023_01/122151104" TargetMode="External"/><Relationship Id="rId15" Type="http://schemas.openxmlformats.org/officeDocument/2006/relationships/hyperlink" Target="https://podminky.urs.cz/item/CS_URS_2023_01/916131213" TargetMode="External"/><Relationship Id="rId10" Type="http://schemas.openxmlformats.org/officeDocument/2006/relationships/hyperlink" Target="https://podminky.urs.cz/item/CS_URS_2023_01/171251201" TargetMode="External"/><Relationship Id="rId19" Type="http://schemas.openxmlformats.org/officeDocument/2006/relationships/hyperlink" Target="https://podminky.urs.cz/item/CS_URS_2023_01/997221612" TargetMode="External"/><Relationship Id="rId4" Type="http://schemas.openxmlformats.org/officeDocument/2006/relationships/hyperlink" Target="https://podminky.urs.cz/item/CS_URS_2023_01/113202111" TargetMode="External"/><Relationship Id="rId9" Type="http://schemas.openxmlformats.org/officeDocument/2006/relationships/hyperlink" Target="https://podminky.urs.cz/item/CS_URS_2023_01/171201221" TargetMode="External"/><Relationship Id="rId14" Type="http://schemas.openxmlformats.org/officeDocument/2006/relationships/hyperlink" Target="https://podminky.urs.cz/item/CS_URS_2023_01/596211114" TargetMode="External"/><Relationship Id="rId22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4813511" TargetMode="External"/><Relationship Id="rId13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3_01/181111121" TargetMode="External"/><Relationship Id="rId7" Type="http://schemas.openxmlformats.org/officeDocument/2006/relationships/hyperlink" Target="https://podminky.urs.cz/item/CS_URS_2023_01/183403153" TargetMode="External"/><Relationship Id="rId12" Type="http://schemas.openxmlformats.org/officeDocument/2006/relationships/hyperlink" Target="https://podminky.urs.cz/item/CS_URS_2023_01/998231411" TargetMode="External"/><Relationship Id="rId2" Type="http://schemas.openxmlformats.org/officeDocument/2006/relationships/hyperlink" Target="https://podminky.urs.cz/item/CS_URS_2023_01/167151101" TargetMode="External"/><Relationship Id="rId1" Type="http://schemas.openxmlformats.org/officeDocument/2006/relationships/hyperlink" Target="https://podminky.urs.cz/item/CS_URS_2023_01/162351103" TargetMode="External"/><Relationship Id="rId6" Type="http://schemas.openxmlformats.org/officeDocument/2006/relationships/hyperlink" Target="https://podminky.urs.cz/item/CS_URS_2023_01/183402121" TargetMode="External"/><Relationship Id="rId11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1411131" TargetMode="External"/><Relationship Id="rId10" Type="http://schemas.openxmlformats.org/officeDocument/2006/relationships/hyperlink" Target="https://podminky.urs.cz/item/CS_URS_2023_01/185802113" TargetMode="External"/><Relationship Id="rId4" Type="http://schemas.openxmlformats.org/officeDocument/2006/relationships/hyperlink" Target="https://podminky.urs.cz/item/CS_URS_2023_01/181351103" TargetMode="External"/><Relationship Id="rId9" Type="http://schemas.openxmlformats.org/officeDocument/2006/relationships/hyperlink" Target="https://podminky.urs.cz/item/CS_URS_2023_01/184813521" TargetMode="External"/><Relationship Id="rId14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92203000" TargetMode="External"/><Relationship Id="rId2" Type="http://schemas.openxmlformats.org/officeDocument/2006/relationships/hyperlink" Target="https://podminky.urs.cz/item/CS_URS_2023_01/091504000" TargetMode="External"/><Relationship Id="rId1" Type="http://schemas.openxmlformats.org/officeDocument/2006/relationships/hyperlink" Target="https://podminky.urs.cz/item/CS_URS_2024_02/052002000" TargetMode="External"/><Relationship Id="rId6" Type="http://schemas.openxmlformats.org/officeDocument/2006/relationships/drawing" Target="../drawings/drawing21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podminky.urs.cz/item/CS_URS_2023_01/093103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67532112" TargetMode="External"/><Relationship Id="rId13" Type="http://schemas.openxmlformats.org/officeDocument/2006/relationships/hyperlink" Target="https://podminky.urs.cz/item/CS_URS_2023_01/916131213" TargetMode="External"/><Relationship Id="rId18" Type="http://schemas.openxmlformats.org/officeDocument/2006/relationships/hyperlink" Target="https://podminky.urs.cz/item/CS_URS_2023_01/998223011" TargetMode="External"/><Relationship Id="rId3" Type="http://schemas.openxmlformats.org/officeDocument/2006/relationships/hyperlink" Target="https://podminky.urs.cz/item/CS_URS_2023_01/113107182" TargetMode="External"/><Relationship Id="rId7" Type="http://schemas.openxmlformats.org/officeDocument/2006/relationships/hyperlink" Target="https://podminky.urs.cz/item/CS_URS_2023_01/567541111" TargetMode="External"/><Relationship Id="rId12" Type="http://schemas.openxmlformats.org/officeDocument/2006/relationships/hyperlink" Target="https://podminky.urs.cz/item/CS_URS_2023_01/915611111" TargetMode="External"/><Relationship Id="rId17" Type="http://schemas.openxmlformats.org/officeDocument/2006/relationships/hyperlink" Target="https://podminky.urs.cz/item/CS_URS_2023_01/997221612" TargetMode="External"/><Relationship Id="rId2" Type="http://schemas.openxmlformats.org/officeDocument/2006/relationships/hyperlink" Target="https://podminky.urs.cz/item/CS_URS_2023_01/113107166" TargetMode="External"/><Relationship Id="rId16" Type="http://schemas.openxmlformats.org/officeDocument/2006/relationships/hyperlink" Target="https://podminky.urs.cz/item/CS_URS_2023_01/997221571" TargetMode="External"/><Relationship Id="rId1" Type="http://schemas.openxmlformats.org/officeDocument/2006/relationships/hyperlink" Target="https://podminky.urs.cz/item/CS_URS_2023_01/113106222" TargetMode="External"/><Relationship Id="rId6" Type="http://schemas.openxmlformats.org/officeDocument/2006/relationships/hyperlink" Target="https://podminky.urs.cz/item/CS_URS_2023_01/132351101" TargetMode="External"/><Relationship Id="rId11" Type="http://schemas.openxmlformats.org/officeDocument/2006/relationships/hyperlink" Target="https://podminky.urs.cz/item/CS_URS_2023_01/915211111" TargetMode="External"/><Relationship Id="rId5" Type="http://schemas.openxmlformats.org/officeDocument/2006/relationships/hyperlink" Target="https://podminky.urs.cz/item/CS_URS_2023_01/129001101" TargetMode="External"/><Relationship Id="rId15" Type="http://schemas.openxmlformats.org/officeDocument/2006/relationships/hyperlink" Target="https://podminky.urs.cz/item/CS_URS_2023_01/938909311" TargetMode="External"/><Relationship Id="rId10" Type="http://schemas.openxmlformats.org/officeDocument/2006/relationships/hyperlink" Target="https://podminky.urs.cz/item/CS_URS_2023_01/596211211" TargetMode="External"/><Relationship Id="rId19" Type="http://schemas.openxmlformats.org/officeDocument/2006/relationships/drawing" Target="../drawings/drawing3.xml"/><Relationship Id="rId4" Type="http://schemas.openxmlformats.org/officeDocument/2006/relationships/hyperlink" Target="https://podminky.urs.cz/item/CS_URS_2023_01/113154123" TargetMode="External"/><Relationship Id="rId9" Type="http://schemas.openxmlformats.org/officeDocument/2006/relationships/hyperlink" Target="https://podminky.urs.cz/item/CS_URS_2023_01/567533111" TargetMode="External"/><Relationship Id="rId14" Type="http://schemas.openxmlformats.org/officeDocument/2006/relationships/hyperlink" Target="https://podminky.urs.cz/item/CS_URS_2023_01/9389084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573111113" TargetMode="External"/><Relationship Id="rId13" Type="http://schemas.openxmlformats.org/officeDocument/2006/relationships/hyperlink" Target="https://podminky.urs.cz/item/CS_URS_2023_01/915231111" TargetMode="External"/><Relationship Id="rId18" Type="http://schemas.openxmlformats.org/officeDocument/2006/relationships/hyperlink" Target="https://podminky.urs.cz/item/CS_URS_2023_01/938909311" TargetMode="External"/><Relationship Id="rId3" Type="http://schemas.openxmlformats.org/officeDocument/2006/relationships/hyperlink" Target="https://podminky.urs.cz/item/CS_URS_2023_01/113154253" TargetMode="External"/><Relationship Id="rId21" Type="http://schemas.openxmlformats.org/officeDocument/2006/relationships/hyperlink" Target="https://podminky.urs.cz/item/CS_URS_2023_01/997221579" TargetMode="External"/><Relationship Id="rId7" Type="http://schemas.openxmlformats.org/officeDocument/2006/relationships/hyperlink" Target="https://podminky.urs.cz/item/CS_URS_2023_01/567533121" TargetMode="External"/><Relationship Id="rId12" Type="http://schemas.openxmlformats.org/officeDocument/2006/relationships/hyperlink" Target="https://podminky.urs.cz/item/CS_URS_2023_01/915121121" TargetMode="External"/><Relationship Id="rId17" Type="http://schemas.openxmlformats.org/officeDocument/2006/relationships/hyperlink" Target="https://podminky.urs.cz/item/CS_URS_2023_01/938908411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113107242" TargetMode="External"/><Relationship Id="rId16" Type="http://schemas.openxmlformats.org/officeDocument/2006/relationships/hyperlink" Target="https://podminky.urs.cz/item/CS_URS_2023_01/916131213" TargetMode="External"/><Relationship Id="rId20" Type="http://schemas.openxmlformats.org/officeDocument/2006/relationships/hyperlink" Target="https://podminky.urs.cz/item/CS_URS_2023_01/997221571" TargetMode="External"/><Relationship Id="rId1" Type="http://schemas.openxmlformats.org/officeDocument/2006/relationships/hyperlink" Target="https://podminky.urs.cz/item/CS_URS_2023_01/113106522" TargetMode="External"/><Relationship Id="rId6" Type="http://schemas.openxmlformats.org/officeDocument/2006/relationships/hyperlink" Target="https://podminky.urs.cz/item/CS_URS_2023_01/567532122" TargetMode="External"/><Relationship Id="rId11" Type="http://schemas.openxmlformats.org/officeDocument/2006/relationships/hyperlink" Target="https://podminky.urs.cz/item/CS_URS_2023_01/914511113" TargetMode="External"/><Relationship Id="rId24" Type="http://schemas.openxmlformats.org/officeDocument/2006/relationships/hyperlink" Target="https://podminky.urs.cz/item/CS_URS_2023_01/998225111" TargetMode="External"/><Relationship Id="rId5" Type="http://schemas.openxmlformats.org/officeDocument/2006/relationships/hyperlink" Target="https://podminky.urs.cz/item/CS_URS_2023_01/567541121" TargetMode="External"/><Relationship Id="rId15" Type="http://schemas.openxmlformats.org/officeDocument/2006/relationships/hyperlink" Target="https://podminky.urs.cz/item/CS_URS_2023_01/915621111" TargetMode="External"/><Relationship Id="rId23" Type="http://schemas.openxmlformats.org/officeDocument/2006/relationships/hyperlink" Target="https://podminky.urs.cz/item/CS_URS_2023_01/997221612" TargetMode="External"/><Relationship Id="rId10" Type="http://schemas.openxmlformats.org/officeDocument/2006/relationships/hyperlink" Target="https://podminky.urs.cz/item/CS_URS_2023_01/914111111" TargetMode="External"/><Relationship Id="rId19" Type="http://schemas.openxmlformats.org/officeDocument/2006/relationships/hyperlink" Target="https://podminky.urs.cz/item/CS_URS_2023_01/966006132" TargetMode="External"/><Relationship Id="rId4" Type="http://schemas.openxmlformats.org/officeDocument/2006/relationships/hyperlink" Target="https://podminky.urs.cz/item/CS_URS_2023_01/132351102" TargetMode="External"/><Relationship Id="rId9" Type="http://schemas.openxmlformats.org/officeDocument/2006/relationships/hyperlink" Target="https://podminky.urs.cz/item/CS_URS_2023_01/577144111" TargetMode="External"/><Relationship Id="rId14" Type="http://schemas.openxmlformats.org/officeDocument/2006/relationships/hyperlink" Target="https://podminky.urs.cz/item/CS_URS_2023_01/915611111" TargetMode="External"/><Relationship Id="rId22" Type="http://schemas.openxmlformats.org/officeDocument/2006/relationships/hyperlink" Target="https://podminky.urs.cz/item/CS_URS_2023_01/99701363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51201" TargetMode="External"/><Relationship Id="rId13" Type="http://schemas.openxmlformats.org/officeDocument/2006/relationships/hyperlink" Target="https://podminky.urs.cz/item/CS_URS_2023_01/916131213" TargetMode="External"/><Relationship Id="rId3" Type="http://schemas.openxmlformats.org/officeDocument/2006/relationships/hyperlink" Target="https://podminky.urs.cz/item/CS_URS_2023_01/122151102" TargetMode="External"/><Relationship Id="rId7" Type="http://schemas.openxmlformats.org/officeDocument/2006/relationships/hyperlink" Target="https://podminky.urs.cz/item/CS_URS_2023_01/171201221" TargetMode="External"/><Relationship Id="rId12" Type="http://schemas.openxmlformats.org/officeDocument/2006/relationships/hyperlink" Target="https://podminky.urs.cz/item/CS_URS_2023_01/596211214" TargetMode="External"/><Relationship Id="rId17" Type="http://schemas.openxmlformats.org/officeDocument/2006/relationships/drawing" Target="../drawings/drawing6.xml"/><Relationship Id="rId2" Type="http://schemas.openxmlformats.org/officeDocument/2006/relationships/hyperlink" Target="https://podminky.urs.cz/item/CS_URS_2023_01/113107163" TargetMode="External"/><Relationship Id="rId16" Type="http://schemas.openxmlformats.org/officeDocument/2006/relationships/hyperlink" Target="https://podminky.urs.cz/item/CS_URS_2023_01/998223011" TargetMode="External"/><Relationship Id="rId1" Type="http://schemas.openxmlformats.org/officeDocument/2006/relationships/hyperlink" Target="https://podminky.urs.cz/item/CS_URS_2023_01/113106142" TargetMode="External"/><Relationship Id="rId6" Type="http://schemas.openxmlformats.org/officeDocument/2006/relationships/hyperlink" Target="https://podminky.urs.cz/item/CS_URS_2023_01/162751119" TargetMode="External"/><Relationship Id="rId11" Type="http://schemas.openxmlformats.org/officeDocument/2006/relationships/hyperlink" Target="https://podminky.urs.cz/item/CS_URS_2023_01/596211212" TargetMode="External"/><Relationship Id="rId5" Type="http://schemas.openxmlformats.org/officeDocument/2006/relationships/hyperlink" Target="https://podminky.urs.cz/item/CS_URS_2023_01/162751117" TargetMode="External"/><Relationship Id="rId15" Type="http://schemas.openxmlformats.org/officeDocument/2006/relationships/hyperlink" Target="https://podminky.urs.cz/item/CS_URS_2023_01/997221612" TargetMode="External"/><Relationship Id="rId10" Type="http://schemas.openxmlformats.org/officeDocument/2006/relationships/hyperlink" Target="https://podminky.urs.cz/item/CS_URS_2023_01/564871111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561041111" TargetMode="External"/><Relationship Id="rId14" Type="http://schemas.openxmlformats.org/officeDocument/2006/relationships/hyperlink" Target="https://podminky.urs.cz/item/CS_URS_2023_01/997221571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452386111" TargetMode="External"/><Relationship Id="rId18" Type="http://schemas.openxmlformats.org/officeDocument/2006/relationships/hyperlink" Target="https://podminky.urs.cz/item/CS_URS_2023_01/877310320" TargetMode="External"/><Relationship Id="rId26" Type="http://schemas.openxmlformats.org/officeDocument/2006/relationships/hyperlink" Target="https://podminky.urs.cz/item/CS_URS_2023_01/894410103" TargetMode="External"/><Relationship Id="rId39" Type="http://schemas.openxmlformats.org/officeDocument/2006/relationships/hyperlink" Target="https://podminky.urs.cz/item/CS_URS_2023_01/997013631" TargetMode="External"/><Relationship Id="rId21" Type="http://schemas.openxmlformats.org/officeDocument/2006/relationships/hyperlink" Target="https://podminky.urs.cz/item/CS_URS_2023_01/877420330" TargetMode="External"/><Relationship Id="rId34" Type="http://schemas.openxmlformats.org/officeDocument/2006/relationships/hyperlink" Target="https://podminky.urs.cz/item/CS_URS_2023_01/895941331" TargetMode="External"/><Relationship Id="rId42" Type="http://schemas.openxmlformats.org/officeDocument/2006/relationships/hyperlink" Target="https://podminky.urs.cz/item/CS_URS_2023_01/043134000" TargetMode="External"/><Relationship Id="rId7" Type="http://schemas.openxmlformats.org/officeDocument/2006/relationships/hyperlink" Target="https://podminky.urs.cz/item/CS_URS_2023_01/132154104" TargetMode="External"/><Relationship Id="rId2" Type="http://schemas.openxmlformats.org/officeDocument/2006/relationships/hyperlink" Target="https://podminky.urs.cz/item/CS_URS_2023_01/113107526" TargetMode="External"/><Relationship Id="rId16" Type="http://schemas.openxmlformats.org/officeDocument/2006/relationships/hyperlink" Target="https://podminky.urs.cz/item/CS_URS_2023_01/871370310" TargetMode="External"/><Relationship Id="rId29" Type="http://schemas.openxmlformats.org/officeDocument/2006/relationships/hyperlink" Target="https://podminky.urs.cz/item/CS_URS_2023_01/894410232" TargetMode="External"/><Relationship Id="rId1" Type="http://schemas.openxmlformats.org/officeDocument/2006/relationships/hyperlink" Target="https://podminky.urs.cz/item/CS_URS_2023_01/113106462" TargetMode="External"/><Relationship Id="rId6" Type="http://schemas.openxmlformats.org/officeDocument/2006/relationships/hyperlink" Target="https://podminky.urs.cz/item/CS_URS_2023_01/131251100" TargetMode="External"/><Relationship Id="rId11" Type="http://schemas.openxmlformats.org/officeDocument/2006/relationships/hyperlink" Target="https://podminky.urs.cz/item/CS_URS_2023_01/151811141" TargetMode="External"/><Relationship Id="rId24" Type="http://schemas.openxmlformats.org/officeDocument/2006/relationships/hyperlink" Target="https://podminky.urs.cz/item/CS_URS_2023_01/892421111" TargetMode="External"/><Relationship Id="rId32" Type="http://schemas.openxmlformats.org/officeDocument/2006/relationships/hyperlink" Target="https://podminky.urs.cz/item/CS_URS_2023_01/895941302" TargetMode="External"/><Relationship Id="rId37" Type="http://schemas.openxmlformats.org/officeDocument/2006/relationships/hyperlink" Target="https://podminky.urs.cz/item/CS_URS_2023_01/935923218" TargetMode="External"/><Relationship Id="rId40" Type="http://schemas.openxmlformats.org/officeDocument/2006/relationships/hyperlink" Target="https://podminky.urs.cz/item/CS_URS_2023_01/721249109" TargetMode="External"/><Relationship Id="rId45" Type="http://schemas.openxmlformats.org/officeDocument/2006/relationships/drawing" Target="../drawings/drawing7.xml"/><Relationship Id="rId5" Type="http://schemas.openxmlformats.org/officeDocument/2006/relationships/hyperlink" Target="https://podminky.urs.cz/item/CS_URS_2023_01/131151102" TargetMode="External"/><Relationship Id="rId15" Type="http://schemas.openxmlformats.org/officeDocument/2006/relationships/hyperlink" Target="https://podminky.urs.cz/item/CS_URS_2023_01/871310310" TargetMode="External"/><Relationship Id="rId23" Type="http://schemas.openxmlformats.org/officeDocument/2006/relationships/hyperlink" Target="https://podminky.urs.cz/item/CS_URS_2023_01/892381111" TargetMode="External"/><Relationship Id="rId28" Type="http://schemas.openxmlformats.org/officeDocument/2006/relationships/hyperlink" Target="https://podminky.urs.cz/item/CS_URS_2023_01/894410212" TargetMode="External"/><Relationship Id="rId36" Type="http://schemas.openxmlformats.org/officeDocument/2006/relationships/hyperlink" Target="https://podminky.urs.cz/item/CS_URS_2023_01/919735111" TargetMode="External"/><Relationship Id="rId10" Type="http://schemas.openxmlformats.org/officeDocument/2006/relationships/hyperlink" Target="https://podminky.urs.cz/item/CS_URS_2023_01/151811131" TargetMode="External"/><Relationship Id="rId19" Type="http://schemas.openxmlformats.org/officeDocument/2006/relationships/hyperlink" Target="https://podminky.urs.cz/item/CS_URS_2023_01/877370330" TargetMode="External"/><Relationship Id="rId31" Type="http://schemas.openxmlformats.org/officeDocument/2006/relationships/hyperlink" Target="https://podminky.urs.cz/item/CS_URS_2023_01/894703021" TargetMode="External"/><Relationship Id="rId44" Type="http://schemas.openxmlformats.org/officeDocument/2006/relationships/hyperlink" Target="https://podminky.urs.cz/item/CS_URS_2023_01/043203000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132254202" TargetMode="External"/><Relationship Id="rId14" Type="http://schemas.openxmlformats.org/officeDocument/2006/relationships/hyperlink" Target="https://podminky.urs.cz/item/CS_URS_2023_01/871365811" TargetMode="External"/><Relationship Id="rId22" Type="http://schemas.openxmlformats.org/officeDocument/2006/relationships/hyperlink" Target="https://podminky.urs.cz/item/CS_URS_2023_01/892351111" TargetMode="External"/><Relationship Id="rId27" Type="http://schemas.openxmlformats.org/officeDocument/2006/relationships/hyperlink" Target="https://podminky.urs.cz/item/CS_URS_2023_01/894410211" TargetMode="External"/><Relationship Id="rId30" Type="http://schemas.openxmlformats.org/officeDocument/2006/relationships/hyperlink" Target="https://podminky.urs.cz/item/CS_URS_2023_01/894410302" TargetMode="External"/><Relationship Id="rId35" Type="http://schemas.openxmlformats.org/officeDocument/2006/relationships/hyperlink" Target="https://podminky.urs.cz/item/CS_URS_2023_01/895941332" TargetMode="External"/><Relationship Id="rId43" Type="http://schemas.openxmlformats.org/officeDocument/2006/relationships/hyperlink" Target="https://podminky.urs.cz/item/CS_URS_2023_01/043194000" TargetMode="External"/><Relationship Id="rId8" Type="http://schemas.openxmlformats.org/officeDocument/2006/relationships/hyperlink" Target="https://podminky.urs.cz/item/CS_URS_2023_01/132154204" TargetMode="External"/><Relationship Id="rId3" Type="http://schemas.openxmlformats.org/officeDocument/2006/relationships/hyperlink" Target="https://podminky.urs.cz/item/CS_URS_2023_01/113107541" TargetMode="External"/><Relationship Id="rId12" Type="http://schemas.openxmlformats.org/officeDocument/2006/relationships/hyperlink" Target="https://podminky.urs.cz/item/CS_URS_2023_01/452311131" TargetMode="External"/><Relationship Id="rId17" Type="http://schemas.openxmlformats.org/officeDocument/2006/relationships/hyperlink" Target="https://podminky.urs.cz/item/CS_URS_2023_01/871420310" TargetMode="External"/><Relationship Id="rId25" Type="http://schemas.openxmlformats.org/officeDocument/2006/relationships/hyperlink" Target="https://podminky.urs.cz/item/CS_URS_2023_01/894118001" TargetMode="External"/><Relationship Id="rId33" Type="http://schemas.openxmlformats.org/officeDocument/2006/relationships/hyperlink" Target="https://podminky.urs.cz/item/CS_URS_2023_01/895941314" TargetMode="External"/><Relationship Id="rId38" Type="http://schemas.openxmlformats.org/officeDocument/2006/relationships/hyperlink" Target="https://podminky.urs.cz/item/CS_URS_2023_01/997221612" TargetMode="External"/><Relationship Id="rId20" Type="http://schemas.openxmlformats.org/officeDocument/2006/relationships/hyperlink" Target="https://podminky.urs.cz/item/CS_URS_2023_01/877420320" TargetMode="External"/><Relationship Id="rId41" Type="http://schemas.openxmlformats.org/officeDocument/2006/relationships/hyperlink" Target="https://podminky.urs.cz/item/CS_URS_2023_01/99872110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210203901" TargetMode="External"/><Relationship Id="rId13" Type="http://schemas.openxmlformats.org/officeDocument/2006/relationships/hyperlink" Target="https://podminky.urs.cz/item/CS_URS_2023_01/460141112" TargetMode="External"/><Relationship Id="rId18" Type="http://schemas.openxmlformats.org/officeDocument/2006/relationships/hyperlink" Target="https://podminky.urs.cz/item/CS_URS_2023_01/460451192" TargetMode="External"/><Relationship Id="rId3" Type="http://schemas.openxmlformats.org/officeDocument/2006/relationships/hyperlink" Target="https://podminky.urs.cz/item/CS_URS_2023_01/741110314" TargetMode="External"/><Relationship Id="rId21" Type="http://schemas.openxmlformats.org/officeDocument/2006/relationships/hyperlink" Target="https://podminky.urs.cz/item/CS_URS_2023_01/460671113" TargetMode="External"/><Relationship Id="rId7" Type="http://schemas.openxmlformats.org/officeDocument/2006/relationships/hyperlink" Target="https://podminky.urs.cz/item/CS_URS_2023_01/741810003" TargetMode="External"/><Relationship Id="rId12" Type="http://schemas.openxmlformats.org/officeDocument/2006/relationships/hyperlink" Target="https://podminky.urs.cz/item/CS_URS_2023_01/220370445" TargetMode="External"/><Relationship Id="rId17" Type="http://schemas.openxmlformats.org/officeDocument/2006/relationships/hyperlink" Target="https://podminky.urs.cz/item/CS_URS_2023_01/460361111" TargetMode="External"/><Relationship Id="rId2" Type="http://schemas.openxmlformats.org/officeDocument/2006/relationships/hyperlink" Target="https://podminky.urs.cz/item/CS_URS_2023_01/741110312" TargetMode="External"/><Relationship Id="rId16" Type="http://schemas.openxmlformats.org/officeDocument/2006/relationships/hyperlink" Target="https://podminky.urs.cz/item/CS_URS_2023_01/460341121" TargetMode="External"/><Relationship Id="rId20" Type="http://schemas.openxmlformats.org/officeDocument/2006/relationships/hyperlink" Target="https://podminky.urs.cz/item/CS_URS_2023_01/460661112" TargetMode="External"/><Relationship Id="rId1" Type="http://schemas.openxmlformats.org/officeDocument/2006/relationships/hyperlink" Target="https://podminky.urs.cz/item/CS_URS_2023_01/945421110" TargetMode="External"/><Relationship Id="rId6" Type="http://schemas.openxmlformats.org/officeDocument/2006/relationships/hyperlink" Target="https://podminky.urs.cz/item/CS_URS_2023_01/741123224" TargetMode="External"/><Relationship Id="rId11" Type="http://schemas.openxmlformats.org/officeDocument/2006/relationships/hyperlink" Target="https://podminky.urs.cz/item/CS_URS_2023_01/218204011" TargetMode="External"/><Relationship Id="rId5" Type="http://schemas.openxmlformats.org/officeDocument/2006/relationships/hyperlink" Target="https://podminky.urs.cz/item/CS_URS_2023_01/741122134" TargetMode="External"/><Relationship Id="rId15" Type="http://schemas.openxmlformats.org/officeDocument/2006/relationships/hyperlink" Target="https://podminky.urs.cz/item/CS_URS_2023_01/460341113" TargetMode="External"/><Relationship Id="rId23" Type="http://schemas.openxmlformats.org/officeDocument/2006/relationships/drawing" Target="../drawings/drawing8.xml"/><Relationship Id="rId10" Type="http://schemas.openxmlformats.org/officeDocument/2006/relationships/hyperlink" Target="https://podminky.urs.cz/item/CS_URS_2023_01/210280131" TargetMode="External"/><Relationship Id="rId19" Type="http://schemas.openxmlformats.org/officeDocument/2006/relationships/hyperlink" Target="https://podminky.urs.cz/item/CS_URS_2023_01/460641113" TargetMode="External"/><Relationship Id="rId4" Type="http://schemas.openxmlformats.org/officeDocument/2006/relationships/hyperlink" Target="https://podminky.urs.cz/item/CS_URS_2023_01/741122131" TargetMode="External"/><Relationship Id="rId9" Type="http://schemas.openxmlformats.org/officeDocument/2006/relationships/hyperlink" Target="https://podminky.urs.cz/item/CS_URS_2023_01/210204011" TargetMode="External"/><Relationship Id="rId14" Type="http://schemas.openxmlformats.org/officeDocument/2006/relationships/hyperlink" Target="https://podminky.urs.cz/item/CS_URS_2023_01/460171182" TargetMode="External"/><Relationship Id="rId22" Type="http://schemas.openxmlformats.org/officeDocument/2006/relationships/hyperlink" Target="https://podminky.urs.cz/item/CS_URS_2023_01/46998111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998742194" TargetMode="External"/><Relationship Id="rId2" Type="http://schemas.openxmlformats.org/officeDocument/2006/relationships/hyperlink" Target="https://podminky.urs.cz/item/CS_URS_2023_01/998742101" TargetMode="External"/><Relationship Id="rId1" Type="http://schemas.openxmlformats.org/officeDocument/2006/relationships/hyperlink" Target="https://podminky.urs.cz/item/CS_URS_2023_01/742110021" TargetMode="External"/><Relationship Id="rId5" Type="http://schemas.openxmlformats.org/officeDocument/2006/relationships/drawing" Target="../drawings/drawing9.xml"/><Relationship Id="rId4" Type="http://schemas.openxmlformats.org/officeDocument/2006/relationships/hyperlink" Target="https://podminky.urs.cz/item/CS_URS_2023_01/2201820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4F5D1-A19F-4CFB-97E8-7270BC649AE8}">
  <sheetPr>
    <tabColor indexed="50"/>
  </sheetPr>
  <dimension ref="A1:CM166"/>
  <sheetViews>
    <sheetView showGridLines="0" tabSelected="1" topLeftCell="A88" zoomScaleNormal="100" workbookViewId="0">
      <selection activeCell="AG97" sqref="AG97:AM9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1.83203125" customWidth="1"/>
    <col min="45" max="57" width="11.83203125" hidden="1" customWidth="1"/>
    <col min="58" max="64" width="0" hidden="1" customWidth="1"/>
    <col min="71" max="91" width="9.33203125" hidden="1" customWidth="1"/>
  </cols>
  <sheetData>
    <row r="1" spans="1:74" x14ac:dyDescent="0.3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ht="36.950000000000003" customHeight="1" x14ac:dyDescent="0.3">
      <c r="AR2" s="288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8" t="s">
        <v>5</v>
      </c>
      <c r="BT2" s="18" t="s">
        <v>6</v>
      </c>
    </row>
    <row r="3" spans="1:74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5</v>
      </c>
      <c r="BT3" s="18" t="s">
        <v>7</v>
      </c>
    </row>
    <row r="4" spans="1:74" ht="24.95" customHeight="1" x14ac:dyDescent="0.3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ht="12" customHeight="1" x14ac:dyDescent="0.3">
      <c r="B5" s="21"/>
      <c r="D5" s="25" t="s">
        <v>12</v>
      </c>
      <c r="K5" s="293" t="s">
        <v>13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R5" s="21"/>
      <c r="BE5" s="290" t="s">
        <v>14</v>
      </c>
      <c r="BS5" s="18" t="s">
        <v>5</v>
      </c>
    </row>
    <row r="6" spans="1:74" ht="36.950000000000003" customHeight="1" x14ac:dyDescent="0.3">
      <c r="B6" s="21"/>
      <c r="D6" s="27" t="s">
        <v>15</v>
      </c>
      <c r="K6" s="295" t="s">
        <v>16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R6" s="21"/>
      <c r="BE6" s="291"/>
      <c r="BS6" s="18" t="s">
        <v>5</v>
      </c>
    </row>
    <row r="7" spans="1:74" ht="12" customHeight="1" x14ac:dyDescent="0.3">
      <c r="B7" s="21"/>
      <c r="D7" s="28" t="s">
        <v>17</v>
      </c>
      <c r="K7" s="26" t="s">
        <v>18</v>
      </c>
      <c r="AK7" s="28" t="s">
        <v>19</v>
      </c>
      <c r="AN7" s="26" t="s">
        <v>20</v>
      </c>
      <c r="AR7" s="21"/>
      <c r="BE7" s="291"/>
      <c r="BS7" s="18" t="s">
        <v>5</v>
      </c>
    </row>
    <row r="8" spans="1:74" ht="12" customHeight="1" x14ac:dyDescent="0.3">
      <c r="B8" s="21"/>
      <c r="D8" s="28" t="s">
        <v>21</v>
      </c>
      <c r="K8" s="26" t="s">
        <v>22</v>
      </c>
      <c r="AK8" s="28" t="s">
        <v>23</v>
      </c>
      <c r="AN8" s="29">
        <v>45678</v>
      </c>
      <c r="AR8" s="21"/>
      <c r="BE8" s="291"/>
      <c r="BS8" s="18" t="s">
        <v>5</v>
      </c>
    </row>
    <row r="9" spans="1:74" ht="29.25" customHeight="1" x14ac:dyDescent="0.3">
      <c r="B9" s="21"/>
      <c r="D9" s="25" t="s">
        <v>24</v>
      </c>
      <c r="K9" s="30" t="s">
        <v>25</v>
      </c>
      <c r="AK9" s="25" t="s">
        <v>26</v>
      </c>
      <c r="AN9" s="30" t="s">
        <v>27</v>
      </c>
      <c r="AR9" s="21"/>
      <c r="BE9" s="291"/>
      <c r="BS9" s="18" t="s">
        <v>5</v>
      </c>
    </row>
    <row r="10" spans="1:74" ht="12" customHeight="1" x14ac:dyDescent="0.3">
      <c r="B10" s="21"/>
      <c r="D10" s="28" t="s">
        <v>28</v>
      </c>
      <c r="AK10" s="28" t="s">
        <v>29</v>
      </c>
      <c r="AN10" s="26" t="s">
        <v>30</v>
      </c>
      <c r="AR10" s="21"/>
      <c r="BE10" s="291"/>
      <c r="BS10" s="18" t="s">
        <v>5</v>
      </c>
    </row>
    <row r="11" spans="1:74" ht="18.399999999999999" customHeight="1" x14ac:dyDescent="0.3">
      <c r="B11" s="21"/>
      <c r="E11" s="26" t="s">
        <v>31</v>
      </c>
      <c r="AK11" s="28" t="s">
        <v>32</v>
      </c>
      <c r="AN11" s="26" t="s">
        <v>1</v>
      </c>
      <c r="AR11" s="21"/>
      <c r="BE11" s="291"/>
      <c r="BS11" s="18" t="s">
        <v>5</v>
      </c>
    </row>
    <row r="12" spans="1:74" ht="6.95" customHeight="1" x14ac:dyDescent="0.3">
      <c r="B12" s="21"/>
      <c r="AR12" s="21"/>
      <c r="BE12" s="291"/>
      <c r="BS12" s="18" t="s">
        <v>5</v>
      </c>
    </row>
    <row r="13" spans="1:74" ht="12" customHeight="1" x14ac:dyDescent="0.3">
      <c r="B13" s="21"/>
      <c r="D13" s="28" t="s">
        <v>33</v>
      </c>
      <c r="AK13" s="28" t="s">
        <v>29</v>
      </c>
      <c r="AN13" s="31"/>
      <c r="AR13" s="21"/>
      <c r="BE13" s="291"/>
      <c r="BS13" s="18" t="s">
        <v>5</v>
      </c>
    </row>
    <row r="14" spans="1:74" x14ac:dyDescent="0.3">
      <c r="B14" s="21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K14" s="28" t="s">
        <v>32</v>
      </c>
      <c r="AN14" s="31"/>
      <c r="AR14" s="21"/>
      <c r="BE14" s="291"/>
      <c r="BS14" s="18" t="s">
        <v>5</v>
      </c>
    </row>
    <row r="15" spans="1:74" ht="6.95" customHeight="1" x14ac:dyDescent="0.3">
      <c r="B15" s="21"/>
      <c r="AR15" s="21"/>
      <c r="BE15" s="291"/>
      <c r="BS15" s="18" t="s">
        <v>3</v>
      </c>
    </row>
    <row r="16" spans="1:74" ht="12" customHeight="1" x14ac:dyDescent="0.3">
      <c r="B16" s="21"/>
      <c r="D16" s="28" t="s">
        <v>34</v>
      </c>
      <c r="AK16" s="28" t="s">
        <v>29</v>
      </c>
      <c r="AN16" s="26" t="s">
        <v>35</v>
      </c>
      <c r="AR16" s="21"/>
      <c r="BE16" s="291"/>
      <c r="BS16" s="18" t="s">
        <v>3</v>
      </c>
    </row>
    <row r="17" spans="2:71" ht="18.399999999999999" customHeight="1" x14ac:dyDescent="0.3">
      <c r="B17" s="21"/>
      <c r="E17" s="26" t="s">
        <v>36</v>
      </c>
      <c r="AK17" s="28" t="s">
        <v>32</v>
      </c>
      <c r="AN17" s="26" t="s">
        <v>1</v>
      </c>
      <c r="AR17" s="21"/>
      <c r="BE17" s="291"/>
      <c r="BS17" s="18" t="s">
        <v>37</v>
      </c>
    </row>
    <row r="18" spans="2:71" ht="6.95" customHeight="1" x14ac:dyDescent="0.3">
      <c r="B18" s="21"/>
      <c r="AR18" s="21"/>
      <c r="BE18" s="291"/>
      <c r="BS18" s="18" t="s">
        <v>5</v>
      </c>
    </row>
    <row r="19" spans="2:71" ht="12" customHeight="1" x14ac:dyDescent="0.3">
      <c r="B19" s="21"/>
      <c r="D19" s="28" t="s">
        <v>38</v>
      </c>
      <c r="AK19" s="28" t="s">
        <v>29</v>
      </c>
      <c r="AN19" s="26" t="s">
        <v>39</v>
      </c>
      <c r="AR19" s="21"/>
      <c r="BE19" s="291"/>
      <c r="BS19" s="18" t="s">
        <v>5</v>
      </c>
    </row>
    <row r="20" spans="2:71" ht="18.399999999999999" customHeight="1" x14ac:dyDescent="0.3">
      <c r="B20" s="21"/>
      <c r="E20" s="26" t="s">
        <v>40</v>
      </c>
      <c r="AK20" s="28" t="s">
        <v>32</v>
      </c>
      <c r="AN20" s="26" t="s">
        <v>1</v>
      </c>
      <c r="AR20" s="21"/>
      <c r="BE20" s="291"/>
      <c r="BS20" s="18" t="s">
        <v>37</v>
      </c>
    </row>
    <row r="21" spans="2:71" ht="6.95" customHeight="1" x14ac:dyDescent="0.3">
      <c r="B21" s="21"/>
      <c r="AR21" s="21"/>
      <c r="BE21" s="291"/>
    </row>
    <row r="22" spans="2:71" ht="12" customHeight="1" x14ac:dyDescent="0.3">
      <c r="B22" s="21"/>
      <c r="D22" s="28" t="s">
        <v>41</v>
      </c>
      <c r="AR22" s="21"/>
      <c r="BE22" s="291"/>
    </row>
    <row r="23" spans="2:71" ht="16.5" customHeight="1" x14ac:dyDescent="0.3">
      <c r="B23" s="21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R23" s="21"/>
      <c r="BE23" s="291"/>
    </row>
    <row r="24" spans="2:71" ht="6.95" customHeight="1" x14ac:dyDescent="0.3">
      <c r="B24" s="21"/>
      <c r="AR24" s="21"/>
      <c r="BE24" s="291"/>
    </row>
    <row r="25" spans="2:71" ht="6.95" customHeight="1" x14ac:dyDescent="0.3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1"/>
    </row>
    <row r="26" spans="2:71" s="1" customFormat="1" ht="25.9" customHeight="1" x14ac:dyDescent="0.3">
      <c r="B26" s="33"/>
      <c r="D26" s="34" t="s">
        <v>42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8">
        <f>ROUND(AG94,2)</f>
        <v>32339396.920000002</v>
      </c>
      <c r="AL26" s="299"/>
      <c r="AM26" s="299"/>
      <c r="AN26" s="299"/>
      <c r="AO26" s="299"/>
      <c r="AR26" s="33"/>
      <c r="BE26" s="291"/>
    </row>
    <row r="27" spans="2:71" s="1" customFormat="1" ht="6.95" customHeight="1" x14ac:dyDescent="0.3">
      <c r="B27" s="33"/>
      <c r="AR27" s="33"/>
      <c r="BE27" s="291"/>
    </row>
    <row r="28" spans="2:71" s="1" customFormat="1" x14ac:dyDescent="0.3">
      <c r="B28" s="33"/>
      <c r="L28" s="300" t="s">
        <v>43</v>
      </c>
      <c r="M28" s="300"/>
      <c r="N28" s="300"/>
      <c r="O28" s="300"/>
      <c r="P28" s="300"/>
      <c r="W28" s="300" t="s">
        <v>44</v>
      </c>
      <c r="X28" s="300"/>
      <c r="Y28" s="300"/>
      <c r="Z28" s="300"/>
      <c r="AA28" s="300"/>
      <c r="AB28" s="300"/>
      <c r="AC28" s="300"/>
      <c r="AD28" s="300"/>
      <c r="AE28" s="300"/>
      <c r="AK28" s="300" t="s">
        <v>45</v>
      </c>
      <c r="AL28" s="300"/>
      <c r="AM28" s="300"/>
      <c r="AN28" s="300"/>
      <c r="AO28" s="300"/>
      <c r="AR28" s="33"/>
      <c r="BE28" s="291"/>
    </row>
    <row r="29" spans="2:71" s="2" customFormat="1" ht="14.45" customHeight="1" x14ac:dyDescent="0.3">
      <c r="B29" s="37"/>
      <c r="D29" s="28" t="s">
        <v>46</v>
      </c>
      <c r="F29" s="28" t="s">
        <v>47</v>
      </c>
      <c r="L29" s="303">
        <v>0.21</v>
      </c>
      <c r="M29" s="302"/>
      <c r="N29" s="302"/>
      <c r="O29" s="302"/>
      <c r="P29" s="302"/>
      <c r="W29" s="301">
        <f>ROUND(AZ94, 2)</f>
        <v>20534175.960000001</v>
      </c>
      <c r="X29" s="302"/>
      <c r="Y29" s="302"/>
      <c r="Z29" s="302"/>
      <c r="AA29" s="302"/>
      <c r="AB29" s="302"/>
      <c r="AC29" s="302"/>
      <c r="AD29" s="302"/>
      <c r="AE29" s="302"/>
      <c r="AK29" s="301">
        <f>ROUND(AV94, 2)</f>
        <v>4312176.95</v>
      </c>
      <c r="AL29" s="302"/>
      <c r="AM29" s="302"/>
      <c r="AN29" s="302"/>
      <c r="AO29" s="302"/>
      <c r="AR29" s="37"/>
      <c r="BE29" s="292"/>
    </row>
    <row r="30" spans="2:71" s="2" customFormat="1" ht="14.45" customHeight="1" x14ac:dyDescent="0.3">
      <c r="B30" s="37"/>
      <c r="F30" s="28" t="s">
        <v>48</v>
      </c>
      <c r="L30" s="303">
        <v>0.15</v>
      </c>
      <c r="M30" s="302"/>
      <c r="N30" s="302"/>
      <c r="O30" s="302"/>
      <c r="P30" s="302"/>
      <c r="W30" s="301">
        <f>ROUND(BA94, 2)</f>
        <v>0</v>
      </c>
      <c r="X30" s="302"/>
      <c r="Y30" s="302"/>
      <c r="Z30" s="302"/>
      <c r="AA30" s="302"/>
      <c r="AB30" s="302"/>
      <c r="AC30" s="302"/>
      <c r="AD30" s="302"/>
      <c r="AE30" s="302"/>
      <c r="AK30" s="301">
        <f>ROUND(AW94, 2)</f>
        <v>0</v>
      </c>
      <c r="AL30" s="302"/>
      <c r="AM30" s="302"/>
      <c r="AN30" s="302"/>
      <c r="AO30" s="302"/>
      <c r="AR30" s="37"/>
      <c r="BE30" s="292"/>
    </row>
    <row r="31" spans="2:71" s="2" customFormat="1" ht="14.45" hidden="1" customHeight="1" x14ac:dyDescent="0.3">
      <c r="B31" s="37"/>
      <c r="F31" s="28" t="s">
        <v>49</v>
      </c>
      <c r="L31" s="303">
        <v>0.21</v>
      </c>
      <c r="M31" s="302"/>
      <c r="N31" s="302"/>
      <c r="O31" s="302"/>
      <c r="P31" s="302"/>
      <c r="W31" s="301">
        <f>ROUND(BB94, 2)</f>
        <v>0</v>
      </c>
      <c r="X31" s="302"/>
      <c r="Y31" s="302"/>
      <c r="Z31" s="302"/>
      <c r="AA31" s="302"/>
      <c r="AB31" s="302"/>
      <c r="AC31" s="302"/>
      <c r="AD31" s="302"/>
      <c r="AE31" s="302"/>
      <c r="AK31" s="301">
        <v>0</v>
      </c>
      <c r="AL31" s="302"/>
      <c r="AM31" s="302"/>
      <c r="AN31" s="302"/>
      <c r="AO31" s="302"/>
      <c r="AR31" s="37"/>
      <c r="BE31" s="292"/>
    </row>
    <row r="32" spans="2:71" s="2" customFormat="1" ht="14.45" hidden="1" customHeight="1" x14ac:dyDescent="0.3">
      <c r="B32" s="37"/>
      <c r="F32" s="28" t="s">
        <v>50</v>
      </c>
      <c r="L32" s="303">
        <v>0.15</v>
      </c>
      <c r="M32" s="302"/>
      <c r="N32" s="302"/>
      <c r="O32" s="302"/>
      <c r="P32" s="302"/>
      <c r="W32" s="301">
        <f>ROUND(BC94, 2)</f>
        <v>0</v>
      </c>
      <c r="X32" s="302"/>
      <c r="Y32" s="302"/>
      <c r="Z32" s="302"/>
      <c r="AA32" s="302"/>
      <c r="AB32" s="302"/>
      <c r="AC32" s="302"/>
      <c r="AD32" s="302"/>
      <c r="AE32" s="302"/>
      <c r="AK32" s="301">
        <v>0</v>
      </c>
      <c r="AL32" s="302"/>
      <c r="AM32" s="302"/>
      <c r="AN32" s="302"/>
      <c r="AO32" s="302"/>
      <c r="AR32" s="37"/>
      <c r="BE32" s="292"/>
    </row>
    <row r="33" spans="2:44" s="2" customFormat="1" ht="14.45" hidden="1" customHeight="1" x14ac:dyDescent="0.3">
      <c r="B33" s="37"/>
      <c r="F33" s="28" t="s">
        <v>51</v>
      </c>
      <c r="L33" s="303">
        <v>0</v>
      </c>
      <c r="M33" s="302"/>
      <c r="N33" s="302"/>
      <c r="O33" s="302"/>
      <c r="P33" s="302"/>
      <c r="W33" s="301">
        <f>ROUND(BD94, 2)</f>
        <v>0</v>
      </c>
      <c r="X33" s="302"/>
      <c r="Y33" s="302"/>
      <c r="Z33" s="302"/>
      <c r="AA33" s="302"/>
      <c r="AB33" s="302"/>
      <c r="AC33" s="302"/>
      <c r="AD33" s="302"/>
      <c r="AE33" s="302"/>
      <c r="AK33" s="301">
        <v>0</v>
      </c>
      <c r="AL33" s="302"/>
      <c r="AM33" s="302"/>
      <c r="AN33" s="302"/>
      <c r="AO33" s="302"/>
      <c r="AR33" s="37"/>
    </row>
    <row r="34" spans="2:44" s="1" customFormat="1" ht="6.95" customHeight="1" x14ac:dyDescent="0.3">
      <c r="B34" s="33"/>
      <c r="AR34" s="33"/>
    </row>
    <row r="35" spans="2:44" s="1" customFormat="1" ht="25.9" customHeight="1" x14ac:dyDescent="0.3">
      <c r="B35" s="33"/>
      <c r="C35" s="38"/>
      <c r="D35" s="39" t="s">
        <v>52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53</v>
      </c>
      <c r="U35" s="40"/>
      <c r="V35" s="40"/>
      <c r="W35" s="40"/>
      <c r="X35" s="304" t="s">
        <v>54</v>
      </c>
      <c r="Y35" s="305"/>
      <c r="Z35" s="305"/>
      <c r="AA35" s="305"/>
      <c r="AB35" s="305"/>
      <c r="AC35" s="40"/>
      <c r="AD35" s="40"/>
      <c r="AE35" s="40"/>
      <c r="AF35" s="40"/>
      <c r="AG35" s="40"/>
      <c r="AH35" s="40"/>
      <c r="AI35" s="40"/>
      <c r="AJ35" s="40"/>
      <c r="AK35" s="306">
        <f>SUM(AK26:AK33)</f>
        <v>36651573.870000005</v>
      </c>
      <c r="AL35" s="305"/>
      <c r="AM35" s="305"/>
      <c r="AN35" s="305"/>
      <c r="AO35" s="307"/>
      <c r="AP35" s="38"/>
      <c r="AQ35" s="38"/>
      <c r="AR35" s="33"/>
    </row>
    <row r="36" spans="2:44" s="1" customFormat="1" ht="6.95" customHeight="1" x14ac:dyDescent="0.3">
      <c r="B36" s="33"/>
      <c r="AR36" s="33"/>
    </row>
    <row r="37" spans="2:44" s="1" customFormat="1" ht="14.45" customHeight="1" x14ac:dyDescent="0.3">
      <c r="B37" s="33"/>
      <c r="AR37" s="33"/>
    </row>
    <row r="38" spans="2:44" ht="14.45" customHeight="1" x14ac:dyDescent="0.3">
      <c r="B38" s="21"/>
      <c r="AR38" s="21"/>
    </row>
    <row r="39" spans="2:44" ht="14.45" customHeight="1" x14ac:dyDescent="0.3">
      <c r="B39" s="21"/>
      <c r="AR39" s="21"/>
    </row>
    <row r="40" spans="2:44" ht="14.45" customHeight="1" x14ac:dyDescent="0.3">
      <c r="B40" s="21"/>
      <c r="AR40" s="21"/>
    </row>
    <row r="41" spans="2:44" ht="14.45" customHeight="1" x14ac:dyDescent="0.3">
      <c r="B41" s="21"/>
      <c r="AR41" s="21"/>
    </row>
    <row r="42" spans="2:44" ht="14.45" customHeight="1" x14ac:dyDescent="0.3">
      <c r="B42" s="21"/>
      <c r="AR42" s="21"/>
    </row>
    <row r="43" spans="2:44" ht="14.45" customHeight="1" x14ac:dyDescent="0.3">
      <c r="B43" s="21"/>
      <c r="AR43" s="21"/>
    </row>
    <row r="44" spans="2:44" ht="14.45" customHeight="1" x14ac:dyDescent="0.3">
      <c r="B44" s="21"/>
      <c r="AR44" s="21"/>
    </row>
    <row r="45" spans="2:44" ht="14.45" customHeight="1" x14ac:dyDescent="0.3">
      <c r="B45" s="21"/>
      <c r="AR45" s="21"/>
    </row>
    <row r="46" spans="2:44" ht="14.45" customHeight="1" x14ac:dyDescent="0.3">
      <c r="B46" s="21"/>
      <c r="AR46" s="21"/>
    </row>
    <row r="47" spans="2:44" ht="14.45" customHeight="1" x14ac:dyDescent="0.3">
      <c r="B47" s="21"/>
      <c r="AR47" s="21"/>
    </row>
    <row r="48" spans="2:44" ht="14.45" customHeight="1" x14ac:dyDescent="0.3">
      <c r="B48" s="21"/>
      <c r="AR48" s="21"/>
    </row>
    <row r="49" spans="2:44" s="1" customFormat="1" ht="14.45" customHeight="1" x14ac:dyDescent="0.3">
      <c r="B49" s="33"/>
      <c r="D49" s="42" t="s">
        <v>55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56</v>
      </c>
      <c r="AI49" s="43"/>
      <c r="AJ49" s="43"/>
      <c r="AK49" s="43"/>
      <c r="AL49" s="43"/>
      <c r="AM49" s="43"/>
      <c r="AN49" s="43"/>
      <c r="AO49" s="43"/>
      <c r="AR49" s="33"/>
    </row>
    <row r="50" spans="2:44" x14ac:dyDescent="0.3">
      <c r="B50" s="21"/>
      <c r="AR50" s="21"/>
    </row>
    <row r="51" spans="2:44" x14ac:dyDescent="0.3">
      <c r="B51" s="21"/>
      <c r="AR51" s="21"/>
    </row>
    <row r="52" spans="2:44" x14ac:dyDescent="0.3">
      <c r="B52" s="21"/>
      <c r="AR52" s="21"/>
    </row>
    <row r="53" spans="2:44" x14ac:dyDescent="0.3">
      <c r="B53" s="21"/>
      <c r="AR53" s="21"/>
    </row>
    <row r="54" spans="2:44" x14ac:dyDescent="0.3">
      <c r="B54" s="21"/>
      <c r="AR54" s="21"/>
    </row>
    <row r="55" spans="2:44" x14ac:dyDescent="0.3">
      <c r="B55" s="21"/>
      <c r="AR55" s="21"/>
    </row>
    <row r="56" spans="2:44" x14ac:dyDescent="0.3">
      <c r="B56" s="21"/>
      <c r="AR56" s="21"/>
    </row>
    <row r="57" spans="2:44" x14ac:dyDescent="0.3">
      <c r="B57" s="21"/>
      <c r="AR57" s="21"/>
    </row>
    <row r="58" spans="2:44" x14ac:dyDescent="0.3">
      <c r="B58" s="21"/>
      <c r="AR58" s="21"/>
    </row>
    <row r="59" spans="2:44" x14ac:dyDescent="0.3">
      <c r="B59" s="21"/>
      <c r="AR59" s="21"/>
    </row>
    <row r="60" spans="2:44" s="1" customFormat="1" x14ac:dyDescent="0.3">
      <c r="B60" s="33"/>
      <c r="D60" s="44" t="s">
        <v>57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58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57</v>
      </c>
      <c r="AI60" s="35"/>
      <c r="AJ60" s="35"/>
      <c r="AK60" s="35"/>
      <c r="AL60" s="35"/>
      <c r="AM60" s="44" t="s">
        <v>58</v>
      </c>
      <c r="AN60" s="35"/>
      <c r="AO60" s="35"/>
      <c r="AR60" s="33"/>
    </row>
    <row r="61" spans="2:44" x14ac:dyDescent="0.3">
      <c r="B61" s="21"/>
      <c r="AR61" s="21"/>
    </row>
    <row r="62" spans="2:44" x14ac:dyDescent="0.3">
      <c r="B62" s="21"/>
      <c r="AR62" s="21"/>
    </row>
    <row r="63" spans="2:44" x14ac:dyDescent="0.3">
      <c r="B63" s="21"/>
      <c r="AR63" s="21"/>
    </row>
    <row r="64" spans="2:44" s="1" customFormat="1" x14ac:dyDescent="0.3">
      <c r="B64" s="33"/>
      <c r="D64" s="42" t="s">
        <v>59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60</v>
      </c>
      <c r="AI64" s="43"/>
      <c r="AJ64" s="43"/>
      <c r="AK64" s="43"/>
      <c r="AL64" s="43"/>
      <c r="AM64" s="43"/>
      <c r="AN64" s="43"/>
      <c r="AO64" s="43"/>
      <c r="AR64" s="33"/>
    </row>
    <row r="65" spans="2:44" x14ac:dyDescent="0.3">
      <c r="B65" s="21"/>
      <c r="AR65" s="21"/>
    </row>
    <row r="66" spans="2:44" x14ac:dyDescent="0.3">
      <c r="B66" s="21"/>
      <c r="AR66" s="21"/>
    </row>
    <row r="67" spans="2:44" x14ac:dyDescent="0.3">
      <c r="B67" s="21"/>
      <c r="AR67" s="21"/>
    </row>
    <row r="68" spans="2:44" x14ac:dyDescent="0.3">
      <c r="B68" s="21"/>
      <c r="AR68" s="21"/>
    </row>
    <row r="69" spans="2:44" x14ac:dyDescent="0.3">
      <c r="B69" s="21"/>
      <c r="AR69" s="21"/>
    </row>
    <row r="70" spans="2:44" x14ac:dyDescent="0.3">
      <c r="B70" s="21"/>
      <c r="AR70" s="21"/>
    </row>
    <row r="71" spans="2:44" x14ac:dyDescent="0.3">
      <c r="B71" s="21"/>
      <c r="AR71" s="21"/>
    </row>
    <row r="72" spans="2:44" x14ac:dyDescent="0.3">
      <c r="B72" s="21"/>
      <c r="AR72" s="21"/>
    </row>
    <row r="73" spans="2:44" x14ac:dyDescent="0.3">
      <c r="B73" s="21"/>
      <c r="AR73" s="21"/>
    </row>
    <row r="74" spans="2:44" x14ac:dyDescent="0.3">
      <c r="B74" s="21"/>
      <c r="AR74" s="21"/>
    </row>
    <row r="75" spans="2:44" s="1" customFormat="1" x14ac:dyDescent="0.3">
      <c r="B75" s="33"/>
      <c r="D75" s="44" t="s">
        <v>57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58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57</v>
      </c>
      <c r="AI75" s="35"/>
      <c r="AJ75" s="35"/>
      <c r="AK75" s="35"/>
      <c r="AL75" s="35"/>
      <c r="AM75" s="44" t="s">
        <v>58</v>
      </c>
      <c r="AN75" s="35"/>
      <c r="AO75" s="35"/>
      <c r="AR75" s="33"/>
    </row>
    <row r="76" spans="2:44" s="1" customFormat="1" x14ac:dyDescent="0.3">
      <c r="B76" s="33"/>
      <c r="AR76" s="33"/>
    </row>
    <row r="77" spans="2:44" s="1" customFormat="1" ht="6.9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5" customHeight="1" x14ac:dyDescent="0.3">
      <c r="B82" s="33"/>
      <c r="C82" s="22" t="s">
        <v>61</v>
      </c>
      <c r="AR82" s="33"/>
    </row>
    <row r="83" spans="1:91" s="1" customFormat="1" ht="6.95" customHeight="1" x14ac:dyDescent="0.3">
      <c r="B83" s="33"/>
      <c r="AR83" s="33"/>
    </row>
    <row r="84" spans="1:91" s="3" customFormat="1" ht="12" customHeight="1" x14ac:dyDescent="0.3">
      <c r="B84" s="49"/>
      <c r="C84" s="28" t="s">
        <v>12</v>
      </c>
      <c r="L84" s="3" t="str">
        <f>K5</f>
        <v>03-2023-I(1)</v>
      </c>
      <c r="AR84" s="49"/>
    </row>
    <row r="85" spans="1:91" s="4" customFormat="1" ht="36.950000000000003" customHeight="1" x14ac:dyDescent="0.3">
      <c r="B85" s="50"/>
      <c r="C85" s="51" t="s">
        <v>15</v>
      </c>
      <c r="L85" s="308" t="str">
        <f>K6</f>
        <v>Obnova ulice Tyršova, Dobrovice CELKEM I. etapa a II. etapa</v>
      </c>
      <c r="M85" s="309"/>
      <c r="N85" s="309"/>
      <c r="O85" s="309"/>
      <c r="P85" s="309"/>
      <c r="Q85" s="309"/>
      <c r="R85" s="309"/>
      <c r="S85" s="309"/>
      <c r="T85" s="309"/>
      <c r="U85" s="309"/>
      <c r="V85" s="309"/>
      <c r="W85" s="309"/>
      <c r="X85" s="309"/>
      <c r="Y85" s="309"/>
      <c r="Z85" s="309"/>
      <c r="AA85" s="309"/>
      <c r="AB85" s="309"/>
      <c r="AC85" s="309"/>
      <c r="AD85" s="309"/>
      <c r="AE85" s="309"/>
      <c r="AF85" s="309"/>
      <c r="AG85" s="309"/>
      <c r="AH85" s="309"/>
      <c r="AI85" s="309"/>
      <c r="AJ85" s="309"/>
      <c r="AK85" s="309"/>
      <c r="AL85" s="309"/>
      <c r="AM85" s="309"/>
      <c r="AN85" s="309"/>
      <c r="AO85" s="309"/>
      <c r="AR85" s="50"/>
    </row>
    <row r="86" spans="1:91" s="1" customFormat="1" ht="6.95" customHeight="1" x14ac:dyDescent="0.3">
      <c r="B86" s="33"/>
      <c r="AR86" s="33"/>
    </row>
    <row r="87" spans="1:91" s="1" customFormat="1" ht="12" customHeight="1" x14ac:dyDescent="0.3">
      <c r="B87" s="33"/>
      <c r="C87" s="28" t="s">
        <v>21</v>
      </c>
      <c r="L87" s="52" t="str">
        <f>IF(K8="","",K8)</f>
        <v>Dobrovice</v>
      </c>
      <c r="AI87" s="28" t="s">
        <v>23</v>
      </c>
      <c r="AM87" s="310">
        <f>IF(AN8= "","",AN8)</f>
        <v>45678</v>
      </c>
      <c r="AN87" s="310"/>
      <c r="AR87" s="33"/>
    </row>
    <row r="88" spans="1:91" s="1" customFormat="1" ht="6.95" customHeight="1" x14ac:dyDescent="0.3">
      <c r="B88" s="33"/>
      <c r="AR88" s="33"/>
    </row>
    <row r="89" spans="1:91" s="1" customFormat="1" ht="25.7" customHeight="1" x14ac:dyDescent="0.3">
      <c r="B89" s="33"/>
      <c r="C89" s="28" t="s">
        <v>28</v>
      </c>
      <c r="L89" s="3" t="str">
        <f>IF(E11= "","",E11)</f>
        <v>Město Dobrovice, Palckého nám. 28, 294 41</v>
      </c>
      <c r="AI89" s="28" t="s">
        <v>34</v>
      </c>
      <c r="AM89" s="315" t="str">
        <f>IF(E17="","",E17)</f>
        <v>Ing. arch. Martin Jirovský Ph.D., MBA</v>
      </c>
      <c r="AN89" s="316"/>
      <c r="AO89" s="316"/>
      <c r="AP89" s="316"/>
      <c r="AR89" s="33"/>
      <c r="AS89" s="311" t="s">
        <v>62</v>
      </c>
      <c r="AT89" s="312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25.7" customHeight="1" x14ac:dyDescent="0.3">
      <c r="B90" s="33"/>
      <c r="C90" s="28" t="s">
        <v>33</v>
      </c>
      <c r="L90" s="3" t="str">
        <f>IF(E14="","",E14)</f>
        <v/>
      </c>
      <c r="AI90" s="28" t="s">
        <v>38</v>
      </c>
      <c r="AM90" s="315" t="str">
        <f>IF(E20="","",E20)</f>
        <v>ROAD M.A.A.T. s.r.o., Petra Stejskalová</v>
      </c>
      <c r="AN90" s="316"/>
      <c r="AO90" s="316"/>
      <c r="AP90" s="316"/>
      <c r="AR90" s="33"/>
      <c r="AS90" s="313"/>
      <c r="AT90" s="314"/>
      <c r="BD90" s="57"/>
    </row>
    <row r="91" spans="1:91" s="1" customFormat="1" ht="10.9" customHeight="1" x14ac:dyDescent="0.3">
      <c r="B91" s="33"/>
      <c r="AR91" s="33"/>
      <c r="AS91" s="313"/>
      <c r="AT91" s="314"/>
      <c r="BD91" s="57"/>
    </row>
    <row r="92" spans="1:91" s="1" customFormat="1" ht="29.25" customHeight="1" x14ac:dyDescent="0.3">
      <c r="B92" s="33"/>
      <c r="C92" s="286" t="s">
        <v>63</v>
      </c>
      <c r="D92" s="287"/>
      <c r="E92" s="287"/>
      <c r="F92" s="287"/>
      <c r="G92" s="287"/>
      <c r="H92" s="58"/>
      <c r="I92" s="317">
        <v>60000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319" t="s">
        <v>64</v>
      </c>
      <c r="AH92" s="287"/>
      <c r="AI92" s="287"/>
      <c r="AJ92" s="287"/>
      <c r="AK92" s="287"/>
      <c r="AL92" s="287"/>
      <c r="AM92" s="287"/>
      <c r="AN92" s="317" t="s">
        <v>65</v>
      </c>
      <c r="AO92" s="287"/>
      <c r="AP92" s="318"/>
      <c r="AQ92" s="59" t="s">
        <v>66</v>
      </c>
      <c r="AR92" s="33"/>
      <c r="AS92" s="60" t="s">
        <v>67</v>
      </c>
      <c r="AT92" s="61" t="s">
        <v>68</v>
      </c>
      <c r="AU92" s="61" t="s">
        <v>69</v>
      </c>
      <c r="AV92" s="61" t="s">
        <v>70</v>
      </c>
      <c r="AW92" s="61" t="s">
        <v>71</v>
      </c>
      <c r="AX92" s="61" t="s">
        <v>72</v>
      </c>
      <c r="AY92" s="61" t="s">
        <v>73</v>
      </c>
      <c r="AZ92" s="61" t="s">
        <v>74</v>
      </c>
      <c r="BA92" s="61" t="s">
        <v>75</v>
      </c>
      <c r="BB92" s="61" t="s">
        <v>76</v>
      </c>
      <c r="BC92" s="61" t="s">
        <v>77</v>
      </c>
      <c r="BD92" s="62" t="s">
        <v>78</v>
      </c>
    </row>
    <row r="93" spans="1:91" s="1" customFormat="1" ht="10.9" customHeight="1" x14ac:dyDescent="0.3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 x14ac:dyDescent="0.3">
      <c r="B94" s="64"/>
      <c r="C94" s="65" t="s">
        <v>79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320">
        <f>ROUND(SUM(AG95:AG114),2)</f>
        <v>32339396.920000002</v>
      </c>
      <c r="AH94" s="320"/>
      <c r="AI94" s="320"/>
      <c r="AJ94" s="320"/>
      <c r="AK94" s="320"/>
      <c r="AL94" s="320"/>
      <c r="AM94" s="320"/>
      <c r="AN94" s="321">
        <f t="shared" ref="AN94:AN114" si="0">SUM(AG94,AT94)</f>
        <v>36651573.870000005</v>
      </c>
      <c r="AO94" s="321"/>
      <c r="AP94" s="321"/>
      <c r="AQ94" s="68" t="s">
        <v>1</v>
      </c>
      <c r="AR94" s="64"/>
      <c r="AS94" s="69">
        <f>ROUND(SUM(AS95:AS114),2)</f>
        <v>0</v>
      </c>
      <c r="AT94" s="70">
        <f t="shared" ref="AT94:AT114" si="1">ROUND(SUM(AV94:AW94),2)</f>
        <v>4312176.95</v>
      </c>
      <c r="AU94" s="71">
        <f>ROUND(SUM(AU95:AU114),5)</f>
        <v>11252.88925</v>
      </c>
      <c r="AV94" s="70">
        <f>ROUND(AZ94*L29,2)</f>
        <v>4312176.95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ROUND(SUM(AZ95:AZ114),2)</f>
        <v>20534175.960000001</v>
      </c>
      <c r="BA94" s="70">
        <f>ROUND(SUM(BA95:BA114),2)</f>
        <v>0</v>
      </c>
      <c r="BB94" s="70">
        <f>ROUND(SUM(BB95:BB114),2)</f>
        <v>0</v>
      </c>
      <c r="BC94" s="70">
        <f>ROUND(SUM(BC95:BC114),2)</f>
        <v>0</v>
      </c>
      <c r="BD94" s="72">
        <f>ROUND(SUM(BD95:BD114),2)</f>
        <v>0</v>
      </c>
      <c r="BS94" s="73" t="s">
        <v>80</v>
      </c>
      <c r="BT94" s="73" t="s">
        <v>81</v>
      </c>
      <c r="BU94" s="74" t="s">
        <v>82</v>
      </c>
      <c r="BV94" s="73" t="s">
        <v>83</v>
      </c>
      <c r="BW94" s="73" t="s">
        <v>4</v>
      </c>
      <c r="BX94" s="73" t="s">
        <v>84</v>
      </c>
      <c r="CL94" s="73" t="s">
        <v>18</v>
      </c>
    </row>
    <row r="95" spans="1:91" s="6" customFormat="1" ht="16.5" customHeight="1" x14ac:dyDescent="0.3">
      <c r="A95" s="75"/>
      <c r="B95" s="76"/>
      <c r="C95" s="77"/>
      <c r="D95" s="285" t="s">
        <v>85</v>
      </c>
      <c r="E95" s="285"/>
      <c r="F95" s="285"/>
      <c r="G95" s="285"/>
      <c r="H95" s="285"/>
      <c r="I95" s="78"/>
      <c r="J95" s="285" t="s">
        <v>86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  <c r="AE95" s="285"/>
      <c r="AF95" s="285"/>
      <c r="AG95" s="322">
        <f>'SO 102.I Chodník'!J30</f>
        <v>2581821.0099999998</v>
      </c>
      <c r="AH95" s="323"/>
      <c r="AI95" s="323"/>
      <c r="AJ95" s="323"/>
      <c r="AK95" s="323"/>
      <c r="AL95" s="323"/>
      <c r="AM95" s="323"/>
      <c r="AN95" s="322">
        <f t="shared" si="0"/>
        <v>3124003.42</v>
      </c>
      <c r="AO95" s="323"/>
      <c r="AP95" s="323"/>
      <c r="AQ95" s="79" t="s">
        <v>87</v>
      </c>
      <c r="AR95" s="76"/>
      <c r="AS95" s="80">
        <v>0</v>
      </c>
      <c r="AT95" s="81">
        <f t="shared" si="1"/>
        <v>542182.41</v>
      </c>
      <c r="AU95" s="82">
        <f>'SO 102.I Chodník'!P124</f>
        <v>2386.8944049999996</v>
      </c>
      <c r="AV95" s="81">
        <f>'SO 102.I Chodník'!J33</f>
        <v>542182.41</v>
      </c>
      <c r="AW95" s="81">
        <f>'SO 102.I Chodník'!J34</f>
        <v>0</v>
      </c>
      <c r="AX95" s="81">
        <f>'SO 102.I Chodník'!J35</f>
        <v>0</v>
      </c>
      <c r="AY95" s="81">
        <f>'SO 102.I Chodník'!J36</f>
        <v>0</v>
      </c>
      <c r="AZ95" s="81">
        <f>'SO 102.I Chodník'!F33</f>
        <v>2581821.0099999998</v>
      </c>
      <c r="BA95" s="81">
        <f>'SO 102.I Chodník'!F34</f>
        <v>0</v>
      </c>
      <c r="BB95" s="81">
        <f>'SO 102.I Chodník'!F35</f>
        <v>0</v>
      </c>
      <c r="BC95" s="81">
        <f>'SO 102.I Chodník'!F36</f>
        <v>0</v>
      </c>
      <c r="BD95" s="83">
        <f>'SO 102.I Chodník'!F37</f>
        <v>0</v>
      </c>
      <c r="BT95" s="84" t="s">
        <v>88</v>
      </c>
      <c r="BV95" s="84" t="s">
        <v>83</v>
      </c>
      <c r="BW95" s="84" t="s">
        <v>89</v>
      </c>
      <c r="BX95" s="84" t="s">
        <v>4</v>
      </c>
      <c r="CL95" s="84" t="s">
        <v>18</v>
      </c>
      <c r="CM95" s="84" t="s">
        <v>20</v>
      </c>
    </row>
    <row r="96" spans="1:91" s="6" customFormat="1" ht="16.5" customHeight="1" x14ac:dyDescent="0.3">
      <c r="A96" s="75"/>
      <c r="B96" s="76"/>
      <c r="C96" s="77"/>
      <c r="D96" s="285" t="s">
        <v>90</v>
      </c>
      <c r="E96" s="285"/>
      <c r="F96" s="285"/>
      <c r="G96" s="285"/>
      <c r="H96" s="285"/>
      <c r="I96" s="78">
        <v>45000</v>
      </c>
      <c r="J96" s="285" t="s">
        <v>91</v>
      </c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  <c r="AE96" s="285"/>
      <c r="AF96" s="285"/>
      <c r="AG96" s="322">
        <f>'SO 103.I Parkovací stání'!J30</f>
        <v>343457.6</v>
      </c>
      <c r="AH96" s="323"/>
      <c r="AI96" s="323"/>
      <c r="AJ96" s="323"/>
      <c r="AK96" s="323"/>
      <c r="AL96" s="323"/>
      <c r="AM96" s="323"/>
      <c r="AN96" s="322">
        <f t="shared" si="0"/>
        <v>415583.69999999995</v>
      </c>
      <c r="AO96" s="323"/>
      <c r="AP96" s="323"/>
      <c r="AQ96" s="79" t="s">
        <v>87</v>
      </c>
      <c r="AR96" s="76"/>
      <c r="AS96" s="80">
        <v>0</v>
      </c>
      <c r="AT96" s="81">
        <f t="shared" si="1"/>
        <v>72126.100000000006</v>
      </c>
      <c r="AU96" s="82">
        <f>'SO 103.I Parkovací stání'!P122</f>
        <v>340.50433300000003</v>
      </c>
      <c r="AV96" s="81">
        <f>'SO 103.I Parkovací stání'!J33</f>
        <v>72126.100000000006</v>
      </c>
      <c r="AW96" s="81">
        <f>'SO 103.I Parkovací stání'!J34</f>
        <v>0</v>
      </c>
      <c r="AX96" s="81">
        <f>'SO 103.I Parkovací stání'!J35</f>
        <v>0</v>
      </c>
      <c r="AY96" s="81">
        <f>'SO 103.I Parkovací stání'!J36</f>
        <v>0</v>
      </c>
      <c r="AZ96" s="81">
        <f>'SO 103.I Parkovací stání'!F33</f>
        <v>343457.6</v>
      </c>
      <c r="BA96" s="81">
        <f>'SO 103.I Parkovací stání'!F34</f>
        <v>0</v>
      </c>
      <c r="BB96" s="81">
        <f>'SO 103.I Parkovací stání'!F35</f>
        <v>0</v>
      </c>
      <c r="BC96" s="81">
        <f>'SO 103.I Parkovací stání'!F36</f>
        <v>0</v>
      </c>
      <c r="BD96" s="83">
        <f>'SO 103.I Parkovací stání'!F37</f>
        <v>0</v>
      </c>
      <c r="BT96" s="84" t="s">
        <v>88</v>
      </c>
      <c r="BV96" s="84" t="s">
        <v>83</v>
      </c>
      <c r="BW96" s="84" t="s">
        <v>92</v>
      </c>
      <c r="BX96" s="84" t="s">
        <v>4</v>
      </c>
      <c r="CL96" s="84" t="s">
        <v>18</v>
      </c>
      <c r="CM96" s="84" t="s">
        <v>20</v>
      </c>
    </row>
    <row r="97" spans="1:91" s="6" customFormat="1" ht="16.5" customHeight="1" x14ac:dyDescent="0.3">
      <c r="A97" s="75"/>
      <c r="B97" s="76"/>
      <c r="C97" s="77"/>
      <c r="D97" s="285" t="s">
        <v>93</v>
      </c>
      <c r="E97" s="285"/>
      <c r="F97" s="285"/>
      <c r="G97" s="285"/>
      <c r="H97" s="285"/>
      <c r="I97" s="78"/>
      <c r="J97" s="285" t="s">
        <v>94</v>
      </c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  <c r="AE97" s="285"/>
      <c r="AF97" s="285"/>
      <c r="AG97" s="322">
        <f>'SO 104.I MK'!J30</f>
        <v>3674726.11</v>
      </c>
      <c r="AH97" s="323"/>
      <c r="AI97" s="323"/>
      <c r="AJ97" s="323"/>
      <c r="AK97" s="323"/>
      <c r="AL97" s="323"/>
      <c r="AM97" s="323"/>
      <c r="AN97" s="322">
        <f t="shared" si="0"/>
        <v>4446418.59</v>
      </c>
      <c r="AO97" s="323"/>
      <c r="AP97" s="323"/>
      <c r="AQ97" s="79" t="s">
        <v>87</v>
      </c>
      <c r="AR97" s="76"/>
      <c r="AS97" s="80">
        <v>0</v>
      </c>
      <c r="AT97" s="81">
        <f t="shared" si="1"/>
        <v>771692.48</v>
      </c>
      <c r="AU97" s="82">
        <f>'SO 104.I MK'!P122</f>
        <v>1746.1926490000001</v>
      </c>
      <c r="AV97" s="81">
        <f>'SO 104.I MK'!J33</f>
        <v>771692.48</v>
      </c>
      <c r="AW97" s="81">
        <f>'SO 104.I MK'!J34</f>
        <v>0</v>
      </c>
      <c r="AX97" s="81">
        <f>'SO 104.I MK'!J35</f>
        <v>0</v>
      </c>
      <c r="AY97" s="81">
        <f>'SO 104.I MK'!J36</f>
        <v>0</v>
      </c>
      <c r="AZ97" s="81">
        <f>'SO 104.I MK'!F33</f>
        <v>3674726.11</v>
      </c>
      <c r="BA97" s="81">
        <f>'SO 104.I MK'!F34</f>
        <v>0</v>
      </c>
      <c r="BB97" s="81">
        <f>'SO 104.I MK'!F35</f>
        <v>0</v>
      </c>
      <c r="BC97" s="81">
        <f>'SO 104.I MK'!F36</f>
        <v>0</v>
      </c>
      <c r="BD97" s="83">
        <f>'SO 104.I MK'!F37</f>
        <v>0</v>
      </c>
      <c r="BT97" s="84" t="s">
        <v>88</v>
      </c>
      <c r="BV97" s="84" t="s">
        <v>83</v>
      </c>
      <c r="BW97" s="84" t="s">
        <v>95</v>
      </c>
      <c r="BX97" s="84" t="s">
        <v>4</v>
      </c>
      <c r="CL97" s="84" t="s">
        <v>18</v>
      </c>
      <c r="CM97" s="84" t="s">
        <v>20</v>
      </c>
    </row>
    <row r="98" spans="1:91" s="6" customFormat="1" ht="16.5" customHeight="1" x14ac:dyDescent="0.3">
      <c r="A98" s="75"/>
      <c r="B98" s="76"/>
      <c r="C98" s="77"/>
      <c r="D98" s="285" t="s">
        <v>96</v>
      </c>
      <c r="E98" s="285"/>
      <c r="F98" s="285"/>
      <c r="G98" s="285"/>
      <c r="H98" s="285"/>
      <c r="I98" s="78">
        <v>45000</v>
      </c>
      <c r="J98" s="285" t="s">
        <v>97</v>
      </c>
      <c r="K98" s="285"/>
      <c r="L98" s="285"/>
      <c r="M98" s="285"/>
      <c r="N98" s="285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  <c r="AA98" s="285"/>
      <c r="AB98" s="285"/>
      <c r="AC98" s="285"/>
      <c r="AD98" s="285"/>
      <c r="AE98" s="285"/>
      <c r="AF98" s="285"/>
      <c r="AG98" s="322">
        <f>'SO 105.I Přechody'!J30</f>
        <v>13885.07</v>
      </c>
      <c r="AH98" s="323"/>
      <c r="AI98" s="323"/>
      <c r="AJ98" s="323"/>
      <c r="AK98" s="323"/>
      <c r="AL98" s="323"/>
      <c r="AM98" s="323"/>
      <c r="AN98" s="322">
        <f t="shared" si="0"/>
        <v>16800.93</v>
      </c>
      <c r="AO98" s="323"/>
      <c r="AP98" s="323"/>
      <c r="AQ98" s="79" t="s">
        <v>87</v>
      </c>
      <c r="AR98" s="76"/>
      <c r="AS98" s="80">
        <v>0</v>
      </c>
      <c r="AT98" s="81">
        <f t="shared" si="1"/>
        <v>2915.86</v>
      </c>
      <c r="AU98" s="82">
        <f>'SO 105.I Přechody'!P119</f>
        <v>2.597915</v>
      </c>
      <c r="AV98" s="81">
        <f>'SO 105.I Přechody'!J33</f>
        <v>2915.86</v>
      </c>
      <c r="AW98" s="81">
        <f>'SO 105.I Přechody'!J34</f>
        <v>0</v>
      </c>
      <c r="AX98" s="81">
        <f>'SO 105.I Přechody'!J35</f>
        <v>0</v>
      </c>
      <c r="AY98" s="81">
        <f>'SO 105.I Přechody'!J36</f>
        <v>0</v>
      </c>
      <c r="AZ98" s="81">
        <f>'SO 105.I Přechody'!F33</f>
        <v>13885.07</v>
      </c>
      <c r="BA98" s="81">
        <f>'SO 105.I Přechody'!F34</f>
        <v>0</v>
      </c>
      <c r="BB98" s="81">
        <f>'SO 105.I Přechody'!F35</f>
        <v>0</v>
      </c>
      <c r="BC98" s="81">
        <f>'SO 105.I Přechody'!F36</f>
        <v>0</v>
      </c>
      <c r="BD98" s="83">
        <f>'SO 105.I Přechody'!F37</f>
        <v>0</v>
      </c>
      <c r="BT98" s="84" t="s">
        <v>88</v>
      </c>
      <c r="BV98" s="84" t="s">
        <v>83</v>
      </c>
      <c r="BW98" s="84" t="s">
        <v>98</v>
      </c>
      <c r="BX98" s="84" t="s">
        <v>4</v>
      </c>
      <c r="CL98" s="84" t="s">
        <v>18</v>
      </c>
      <c r="CM98" s="84" t="s">
        <v>20</v>
      </c>
    </row>
    <row r="99" spans="1:91" s="6" customFormat="1" ht="16.5" customHeight="1" x14ac:dyDescent="0.3">
      <c r="A99" s="75"/>
      <c r="B99" s="76"/>
      <c r="C99" s="77"/>
      <c r="D99" s="285" t="s">
        <v>99</v>
      </c>
      <c r="E99" s="285"/>
      <c r="F99" s="285"/>
      <c r="G99" s="285"/>
      <c r="H99" s="285"/>
      <c r="I99" s="78"/>
      <c r="J99" s="285" t="s">
        <v>100</v>
      </c>
      <c r="K99" s="285"/>
      <c r="L99" s="285"/>
      <c r="M99" s="285"/>
      <c r="N99" s="285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  <c r="AA99" s="285"/>
      <c r="AB99" s="285"/>
      <c r="AC99" s="285"/>
      <c r="AD99" s="285"/>
      <c r="AE99" s="285"/>
      <c r="AF99" s="285"/>
      <c r="AG99" s="322">
        <f>'SO 106.I Sjezd'!J30</f>
        <v>507530.33</v>
      </c>
      <c r="AH99" s="323"/>
      <c r="AI99" s="323"/>
      <c r="AJ99" s="323"/>
      <c r="AK99" s="323"/>
      <c r="AL99" s="323"/>
      <c r="AM99" s="323"/>
      <c r="AN99" s="322">
        <f t="shared" si="0"/>
        <v>614111.69999999995</v>
      </c>
      <c r="AO99" s="323"/>
      <c r="AP99" s="323"/>
      <c r="AQ99" s="79" t="s">
        <v>87</v>
      </c>
      <c r="AR99" s="76"/>
      <c r="AS99" s="80">
        <v>0</v>
      </c>
      <c r="AT99" s="81">
        <f t="shared" si="1"/>
        <v>106581.37</v>
      </c>
      <c r="AU99" s="82">
        <f>'SO 106.I Sjezd'!P122</f>
        <v>473.24686400000002</v>
      </c>
      <c r="AV99" s="81">
        <f>'SO 106.I Sjezd'!J33</f>
        <v>106581.37</v>
      </c>
      <c r="AW99" s="81">
        <f>'SO 106.I Sjezd'!J34</f>
        <v>0</v>
      </c>
      <c r="AX99" s="81">
        <f>'SO 106.I Sjezd'!J35</f>
        <v>0</v>
      </c>
      <c r="AY99" s="81">
        <f>'SO 106.I Sjezd'!J36</f>
        <v>0</v>
      </c>
      <c r="AZ99" s="81">
        <f>'SO 106.I Sjezd'!F33</f>
        <v>507530.33</v>
      </c>
      <c r="BA99" s="81">
        <f>'SO 106.I Sjezd'!F34</f>
        <v>0</v>
      </c>
      <c r="BB99" s="81">
        <f>'SO 106.I Sjezd'!F35</f>
        <v>0</v>
      </c>
      <c r="BC99" s="81">
        <f>'SO 106.I Sjezd'!F36</f>
        <v>0</v>
      </c>
      <c r="BD99" s="83">
        <f>'SO 106.I Sjezd'!F37</f>
        <v>0</v>
      </c>
      <c r="BT99" s="84" t="s">
        <v>88</v>
      </c>
      <c r="BV99" s="84" t="s">
        <v>83</v>
      </c>
      <c r="BW99" s="84" t="s">
        <v>101</v>
      </c>
      <c r="BX99" s="84" t="s">
        <v>4</v>
      </c>
      <c r="CL99" s="84" t="s">
        <v>18</v>
      </c>
      <c r="CM99" s="84" t="s">
        <v>20</v>
      </c>
    </row>
    <row r="100" spans="1:91" s="6" customFormat="1" ht="16.5" customHeight="1" x14ac:dyDescent="0.3">
      <c r="A100" s="75"/>
      <c r="B100" s="76"/>
      <c r="C100" s="77"/>
      <c r="D100" s="285" t="s">
        <v>102</v>
      </c>
      <c r="E100" s="285"/>
      <c r="F100" s="285"/>
      <c r="G100" s="285"/>
      <c r="H100" s="285"/>
      <c r="I100" s="78">
        <v>45000</v>
      </c>
      <c r="J100" s="285" t="s">
        <v>103</v>
      </c>
      <c r="K100" s="285"/>
      <c r="L100" s="285"/>
      <c r="M100" s="285"/>
      <c r="N100" s="285"/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5"/>
      <c r="AC100" s="285"/>
      <c r="AD100" s="285"/>
      <c r="AE100" s="285"/>
      <c r="AF100" s="285"/>
      <c r="AG100" s="322">
        <f>'SO 303.I Odvodnění'!J30</f>
        <v>5346339.88</v>
      </c>
      <c r="AH100" s="323"/>
      <c r="AI100" s="323"/>
      <c r="AJ100" s="323"/>
      <c r="AK100" s="323"/>
      <c r="AL100" s="323"/>
      <c r="AM100" s="323"/>
      <c r="AN100" s="322">
        <f t="shared" si="0"/>
        <v>6469071.25</v>
      </c>
      <c r="AO100" s="323"/>
      <c r="AP100" s="323"/>
      <c r="AQ100" s="79" t="s">
        <v>87</v>
      </c>
      <c r="AR100" s="76"/>
      <c r="AS100" s="80">
        <v>0</v>
      </c>
      <c r="AT100" s="81">
        <f t="shared" si="1"/>
        <v>1122731.3700000001</v>
      </c>
      <c r="AU100" s="82">
        <f>'SO 303.I Odvodnění'!P127</f>
        <v>4924.5076999999992</v>
      </c>
      <c r="AV100" s="81">
        <f>'SO 303.I Odvodnění'!J33</f>
        <v>1122731.3700000001</v>
      </c>
      <c r="AW100" s="81">
        <f>'SO 303.I Odvodnění'!J34</f>
        <v>0</v>
      </c>
      <c r="AX100" s="81">
        <f>'SO 303.I Odvodnění'!J35</f>
        <v>0</v>
      </c>
      <c r="AY100" s="81">
        <f>'SO 303.I Odvodnění'!J36</f>
        <v>0</v>
      </c>
      <c r="AZ100" s="81">
        <f>'SO 303.I Odvodnění'!F33</f>
        <v>5346339.88</v>
      </c>
      <c r="BA100" s="81">
        <f>'SO 303.I Odvodnění'!F34</f>
        <v>0</v>
      </c>
      <c r="BB100" s="81">
        <f>'SO 303.I Odvodnění'!F35</f>
        <v>0</v>
      </c>
      <c r="BC100" s="81">
        <f>'SO 303.I Odvodnění'!F36</f>
        <v>0</v>
      </c>
      <c r="BD100" s="83">
        <f>'SO 303.I Odvodnění'!F37</f>
        <v>0</v>
      </c>
      <c r="BT100" s="84" t="s">
        <v>88</v>
      </c>
      <c r="BV100" s="84" t="s">
        <v>83</v>
      </c>
      <c r="BW100" s="84" t="s">
        <v>104</v>
      </c>
      <c r="BX100" s="84" t="s">
        <v>4</v>
      </c>
      <c r="CL100" s="84" t="s">
        <v>18</v>
      </c>
      <c r="CM100" s="84" t="s">
        <v>20</v>
      </c>
    </row>
    <row r="101" spans="1:91" s="6" customFormat="1" ht="16.5" customHeight="1" x14ac:dyDescent="0.3">
      <c r="A101" s="75"/>
      <c r="B101" s="76"/>
      <c r="C101" s="77"/>
      <c r="D101" s="285" t="s">
        <v>105</v>
      </c>
      <c r="E101" s="285"/>
      <c r="F101" s="285"/>
      <c r="G101" s="285"/>
      <c r="H101" s="285"/>
      <c r="I101" s="78"/>
      <c r="J101" s="285" t="s">
        <v>106</v>
      </c>
      <c r="K101" s="285"/>
      <c r="L101" s="285"/>
      <c r="M101" s="285"/>
      <c r="N101" s="285"/>
      <c r="O101" s="285"/>
      <c r="P101" s="285"/>
      <c r="Q101" s="285"/>
      <c r="R101" s="285"/>
      <c r="S101" s="285"/>
      <c r="T101" s="285"/>
      <c r="U101" s="285"/>
      <c r="V101" s="285"/>
      <c r="W101" s="285"/>
      <c r="X101" s="285"/>
      <c r="Y101" s="285"/>
      <c r="Z101" s="285"/>
      <c r="AA101" s="285"/>
      <c r="AB101" s="285"/>
      <c r="AC101" s="285"/>
      <c r="AD101" s="285"/>
      <c r="AE101" s="285"/>
      <c r="AF101" s="285"/>
      <c r="AG101" s="322">
        <f>'SO 401.I VO'!J30</f>
        <v>1621252.76</v>
      </c>
      <c r="AH101" s="323"/>
      <c r="AI101" s="323"/>
      <c r="AJ101" s="323"/>
      <c r="AK101" s="323"/>
      <c r="AL101" s="323"/>
      <c r="AM101" s="323"/>
      <c r="AN101" s="322">
        <f t="shared" si="0"/>
        <v>1961715.84</v>
      </c>
      <c r="AO101" s="323"/>
      <c r="AP101" s="323"/>
      <c r="AQ101" s="79" t="s">
        <v>87</v>
      </c>
      <c r="AR101" s="76"/>
      <c r="AS101" s="80">
        <v>0</v>
      </c>
      <c r="AT101" s="81">
        <f t="shared" si="1"/>
        <v>340463.08</v>
      </c>
      <c r="AU101" s="82">
        <f>'SO 401.I VO'!P124</f>
        <v>684.91130199999998</v>
      </c>
      <c r="AV101" s="81">
        <f>'SO 401.I VO'!J33</f>
        <v>340463.08</v>
      </c>
      <c r="AW101" s="81">
        <f>'SO 401.I VO'!J34</f>
        <v>0</v>
      </c>
      <c r="AX101" s="81">
        <f>'SO 401.I VO'!J35</f>
        <v>0</v>
      </c>
      <c r="AY101" s="81">
        <f>'SO 401.I VO'!J36</f>
        <v>0</v>
      </c>
      <c r="AZ101" s="81">
        <f>'SO 401.I VO'!F33</f>
        <v>1621252.76</v>
      </c>
      <c r="BA101" s="81">
        <f>'SO 401.I VO'!F34</f>
        <v>0</v>
      </c>
      <c r="BB101" s="81">
        <f>'SO 401.I VO'!F35</f>
        <v>0</v>
      </c>
      <c r="BC101" s="81">
        <f>'SO 401.I VO'!F36</f>
        <v>0</v>
      </c>
      <c r="BD101" s="83">
        <f>'SO 401.I VO'!F37</f>
        <v>0</v>
      </c>
      <c r="BT101" s="84" t="s">
        <v>88</v>
      </c>
      <c r="BV101" s="84" t="s">
        <v>83</v>
      </c>
      <c r="BW101" s="84" t="s">
        <v>107</v>
      </c>
      <c r="BX101" s="84" t="s">
        <v>4</v>
      </c>
      <c r="CL101" s="84" t="s">
        <v>1</v>
      </c>
      <c r="CM101" s="84" t="s">
        <v>20</v>
      </c>
    </row>
    <row r="102" spans="1:91" s="6" customFormat="1" ht="16.5" customHeight="1" x14ac:dyDescent="0.3">
      <c r="A102" s="75"/>
      <c r="B102" s="76"/>
      <c r="C102" s="77"/>
      <c r="D102" s="285" t="s">
        <v>108</v>
      </c>
      <c r="E102" s="285"/>
      <c r="F102" s="285"/>
      <c r="G102" s="285"/>
      <c r="H102" s="285"/>
      <c r="I102" s="78">
        <v>45000</v>
      </c>
      <c r="J102" s="285" t="s">
        <v>109</v>
      </c>
      <c r="K102" s="285"/>
      <c r="L102" s="285"/>
      <c r="M102" s="285"/>
      <c r="N102" s="285"/>
      <c r="O102" s="285"/>
      <c r="P102" s="285"/>
      <c r="Q102" s="285"/>
      <c r="R102" s="285"/>
      <c r="S102" s="285"/>
      <c r="T102" s="285"/>
      <c r="U102" s="285"/>
      <c r="V102" s="285"/>
      <c r="W102" s="285"/>
      <c r="X102" s="285"/>
      <c r="Y102" s="285"/>
      <c r="Z102" s="285"/>
      <c r="AA102" s="285"/>
      <c r="AB102" s="285"/>
      <c r="AC102" s="285"/>
      <c r="AD102" s="285"/>
      <c r="AE102" s="285"/>
      <c r="AF102" s="285"/>
      <c r="AG102" s="322">
        <f>'SO 404.I Optika'!J30</f>
        <v>222846.42</v>
      </c>
      <c r="AH102" s="323"/>
      <c r="AI102" s="323"/>
      <c r="AJ102" s="323"/>
      <c r="AK102" s="323"/>
      <c r="AL102" s="323"/>
      <c r="AM102" s="323"/>
      <c r="AN102" s="322">
        <f t="shared" si="0"/>
        <v>269644.17000000004</v>
      </c>
      <c r="AO102" s="323"/>
      <c r="AP102" s="323"/>
      <c r="AQ102" s="79" t="s">
        <v>87</v>
      </c>
      <c r="AR102" s="76"/>
      <c r="AS102" s="80">
        <v>0</v>
      </c>
      <c r="AT102" s="81">
        <f t="shared" si="1"/>
        <v>46797.75</v>
      </c>
      <c r="AU102" s="82">
        <f>'SO 404.I Optika'!P120</f>
        <v>177.42585000000003</v>
      </c>
      <c r="AV102" s="81">
        <f>'SO 404.I Optika'!J33</f>
        <v>46797.75</v>
      </c>
      <c r="AW102" s="81">
        <f>'SO 404.I Optika'!J34</f>
        <v>0</v>
      </c>
      <c r="AX102" s="81">
        <f>'SO 404.I Optika'!J35</f>
        <v>0</v>
      </c>
      <c r="AY102" s="81">
        <f>'SO 404.I Optika'!J36</f>
        <v>0</v>
      </c>
      <c r="AZ102" s="81">
        <f>'SO 404.I Optika'!F33</f>
        <v>222846.42</v>
      </c>
      <c r="BA102" s="81">
        <f>'SO 404.I Optika'!F34</f>
        <v>0</v>
      </c>
      <c r="BB102" s="81">
        <f>'SO 404.I Optika'!F35</f>
        <v>0</v>
      </c>
      <c r="BC102" s="81">
        <f>'SO 404.I Optika'!F36</f>
        <v>0</v>
      </c>
      <c r="BD102" s="83">
        <f>'SO 404.I Optika'!F37</f>
        <v>0</v>
      </c>
      <c r="BT102" s="84" t="s">
        <v>88</v>
      </c>
      <c r="BV102" s="84" t="s">
        <v>83</v>
      </c>
      <c r="BW102" s="84" t="s">
        <v>110</v>
      </c>
      <c r="BX102" s="84" t="s">
        <v>4</v>
      </c>
      <c r="CL102" s="84" t="s">
        <v>1</v>
      </c>
      <c r="CM102" s="84" t="s">
        <v>20</v>
      </c>
    </row>
    <row r="103" spans="1:91" s="6" customFormat="1" ht="16.5" customHeight="1" x14ac:dyDescent="0.3">
      <c r="A103" s="75"/>
      <c r="B103" s="76"/>
      <c r="C103" s="77"/>
      <c r="D103" s="285" t="s">
        <v>111</v>
      </c>
      <c r="E103" s="285"/>
      <c r="F103" s="285"/>
      <c r="G103" s="285"/>
      <c r="H103" s="285"/>
      <c r="I103" s="78"/>
      <c r="J103" s="285" t="s">
        <v>112</v>
      </c>
      <c r="K103" s="285"/>
      <c r="L103" s="285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322">
        <f>'SO 801.I Sad'!J30</f>
        <v>191316.19</v>
      </c>
      <c r="AH103" s="323"/>
      <c r="AI103" s="323"/>
      <c r="AJ103" s="323"/>
      <c r="AK103" s="323"/>
      <c r="AL103" s="323"/>
      <c r="AM103" s="323"/>
      <c r="AN103" s="322">
        <f t="shared" si="0"/>
        <v>231492.59</v>
      </c>
      <c r="AO103" s="323"/>
      <c r="AP103" s="323"/>
      <c r="AQ103" s="79" t="s">
        <v>87</v>
      </c>
      <c r="AR103" s="76"/>
      <c r="AS103" s="80">
        <v>0</v>
      </c>
      <c r="AT103" s="81">
        <f t="shared" si="1"/>
        <v>40176.400000000001</v>
      </c>
      <c r="AU103" s="82">
        <f>'SO 801.I Sad'!P119</f>
        <v>327.08036799999996</v>
      </c>
      <c r="AV103" s="81">
        <f>'SO 801.I Sad'!J33</f>
        <v>40176.400000000001</v>
      </c>
      <c r="AW103" s="81">
        <f>'SO 801.I Sad'!J34</f>
        <v>0</v>
      </c>
      <c r="AX103" s="81">
        <f>'SO 801.I Sad'!J35</f>
        <v>0</v>
      </c>
      <c r="AY103" s="81">
        <f>'SO 801.I Sad'!J36</f>
        <v>0</v>
      </c>
      <c r="AZ103" s="81">
        <f>'SO 801.I Sad'!F33</f>
        <v>191316.19</v>
      </c>
      <c r="BA103" s="81">
        <f>'SO 801.I Sad'!F34</f>
        <v>0</v>
      </c>
      <c r="BB103" s="81">
        <f>'SO 801.I Sad'!F35</f>
        <v>0</v>
      </c>
      <c r="BC103" s="81">
        <f>'SO 801.I Sad'!F36</f>
        <v>0</v>
      </c>
      <c r="BD103" s="83">
        <f>'SO 801.I Sad'!F37</f>
        <v>0</v>
      </c>
      <c r="BT103" s="84" t="s">
        <v>88</v>
      </c>
      <c r="BV103" s="84" t="s">
        <v>83</v>
      </c>
      <c r="BW103" s="84" t="s">
        <v>113</v>
      </c>
      <c r="BX103" s="84" t="s">
        <v>4</v>
      </c>
      <c r="CL103" s="84" t="s">
        <v>1</v>
      </c>
      <c r="CM103" s="84" t="s">
        <v>20</v>
      </c>
    </row>
    <row r="104" spans="1:91" s="6" customFormat="1" ht="16.5" customHeight="1" x14ac:dyDescent="0.3">
      <c r="A104" s="75"/>
      <c r="B104" s="76"/>
      <c r="C104" s="77"/>
      <c r="D104" s="285" t="s">
        <v>114</v>
      </c>
      <c r="E104" s="285"/>
      <c r="F104" s="285"/>
      <c r="G104" s="285"/>
      <c r="H104" s="285"/>
      <c r="I104" s="78">
        <v>60000</v>
      </c>
      <c r="J104" s="285" t="s">
        <v>115</v>
      </c>
      <c r="K104" s="285"/>
      <c r="L104" s="285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322">
        <f>'SO 101.II Nový chodník'!J30</f>
        <v>361827</v>
      </c>
      <c r="AH104" s="323"/>
      <c r="AI104" s="323"/>
      <c r="AJ104" s="323"/>
      <c r="AK104" s="323"/>
      <c r="AL104" s="323"/>
      <c r="AM104" s="323"/>
      <c r="AN104" s="322">
        <f t="shared" si="0"/>
        <v>361827</v>
      </c>
      <c r="AO104" s="323"/>
      <c r="AP104" s="323"/>
      <c r="AQ104" s="79" t="s">
        <v>87</v>
      </c>
      <c r="AR104" s="76"/>
      <c r="AS104" s="80">
        <v>0</v>
      </c>
      <c r="AT104" s="81">
        <f t="shared" si="1"/>
        <v>0</v>
      </c>
      <c r="AU104" s="82">
        <f/>
        <v>0</v>
      </c>
      <c r="AV104" s="81">
        <f/>
        <v>0</v>
      </c>
      <c r="AW104" s="81" t="str">
        <f>"Cena celkem [CZK]"</f>
        <v>Cena celkem [CZK]</v>
      </c>
      <c r="AX104" s="81">
        <f>714542.28</f>
        <v>714542.28</v>
      </c>
      <c r="AY104" s="81">
        <f>714542.28</f>
        <v>714542.28</v>
      </c>
      <c r="AZ104" s="81">
        <f/>
        <v>0</v>
      </c>
      <c r="BA104" s="81" t="str">
        <f>"Popis"</f>
        <v>Popis</v>
      </c>
      <c r="BB104" s="81">
        <f/>
        <v>0</v>
      </c>
      <c r="BC104" s="81" t="str">
        <f>"Práce a dodávky HSV"</f>
        <v>Práce a dodávky HSV</v>
      </c>
      <c r="BD104" s="83" t="str">
        <f>"Zemní práce"</f>
        <v>Zemní práce</v>
      </c>
      <c r="BT104" s="84" t="s">
        <v>88</v>
      </c>
      <c r="BV104" s="84" t="s">
        <v>83</v>
      </c>
      <c r="BW104" s="84" t="s">
        <v>116</v>
      </c>
      <c r="BX104" s="84" t="s">
        <v>117</v>
      </c>
      <c r="CL104" s="84" t="s">
        <v>18</v>
      </c>
      <c r="CM104" s="84" t="s">
        <v>20</v>
      </c>
    </row>
    <row r="105" spans="1:91" s="6" customFormat="1" ht="16.5" customHeight="1" x14ac:dyDescent="0.3">
      <c r="A105" s="75"/>
      <c r="B105" s="76"/>
      <c r="C105" s="77"/>
      <c r="D105" s="285" t="s">
        <v>118</v>
      </c>
      <c r="E105" s="285"/>
      <c r="F105" s="285"/>
      <c r="G105" s="285"/>
      <c r="H105" s="285"/>
      <c r="I105" s="78"/>
      <c r="J105" s="285" t="s">
        <v>119</v>
      </c>
      <c r="K105" s="285"/>
      <c r="L105" s="285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322">
        <f>'SO 102.II Chodník'!J30</f>
        <v>1711101.78</v>
      </c>
      <c r="AH105" s="323"/>
      <c r="AI105" s="323"/>
      <c r="AJ105" s="323"/>
      <c r="AK105" s="323"/>
      <c r="AL105" s="323"/>
      <c r="AM105" s="323"/>
      <c r="AN105" s="322">
        <f t="shared" si="0"/>
        <v>1711101.78</v>
      </c>
      <c r="AO105" s="323"/>
      <c r="AP105" s="323"/>
      <c r="AQ105" s="79" t="s">
        <v>87</v>
      </c>
      <c r="AR105" s="76"/>
      <c r="AS105" s="80">
        <v>0</v>
      </c>
      <c r="AT105" s="81">
        <f t="shared" si="1"/>
        <v>0</v>
      </c>
      <c r="AU105" s="82">
        <f/>
        <v>0</v>
      </c>
      <c r="AV105" s="81" t="str">
        <f>"22. 3. 2023"</f>
        <v>22. 3. 2023</v>
      </c>
      <c r="AW105" s="81">
        <f/>
        <v>0</v>
      </c>
      <c r="AX105" s="81" t="str">
        <f>"Ing. arch. Martin Jirovský Ph.D., MBA"</f>
        <v>Ing. arch. Martin Jirovský Ph.D., MBA</v>
      </c>
      <c r="AY105" s="81" t="str">
        <f>"ROAD M.A.A.T. s.r.o., Petra Stejskalová"</f>
        <v>ROAD M.A.A.T. s.r.o., Petra Stejskalová</v>
      </c>
      <c r="AZ105" s="81" t="str">
        <f>"Dobrovice"</f>
        <v>Dobrovice</v>
      </c>
      <c r="BA105" s="81">
        <f/>
        <v>0</v>
      </c>
      <c r="BB105" s="81" t="str">
        <f>"Vodovody a kanalizace Mladá Boleslav, a.s."</f>
        <v>Vodovody a kanalizace Mladá Boleslav, a.s.</v>
      </c>
      <c r="BC105" s="81" t="str">
        <f>" "</f>
        <v xml:space="preserve"> </v>
      </c>
      <c r="BD105" s="83">
        <f/>
        <v>0</v>
      </c>
      <c r="BT105" s="84" t="s">
        <v>88</v>
      </c>
      <c r="BV105" s="84" t="s">
        <v>83</v>
      </c>
      <c r="BW105" s="84" t="s">
        <v>120</v>
      </c>
      <c r="BX105" s="84" t="s">
        <v>117</v>
      </c>
      <c r="CL105" s="84" t="s">
        <v>18</v>
      </c>
      <c r="CM105" s="84" t="s">
        <v>20</v>
      </c>
    </row>
    <row r="106" spans="1:91" s="6" customFormat="1" ht="16.5" customHeight="1" x14ac:dyDescent="0.3">
      <c r="A106" s="75"/>
      <c r="B106" s="76"/>
      <c r="C106" s="77"/>
      <c r="D106" s="285" t="s">
        <v>121</v>
      </c>
      <c r="E106" s="285"/>
      <c r="F106" s="285"/>
      <c r="G106" s="285"/>
      <c r="H106" s="285"/>
      <c r="I106" s="78">
        <v>60000</v>
      </c>
      <c r="J106" s="285" t="s">
        <v>122</v>
      </c>
      <c r="K106" s="285"/>
      <c r="L106" s="285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322">
        <f>'SO 103.II Parkovací stání'!J30</f>
        <v>691799.54</v>
      </c>
      <c r="AH106" s="323"/>
      <c r="AI106" s="323"/>
      <c r="AJ106" s="323"/>
      <c r="AK106" s="323"/>
      <c r="AL106" s="323"/>
      <c r="AM106" s="323"/>
      <c r="AN106" s="322">
        <f t="shared" si="0"/>
        <v>691799.54</v>
      </c>
      <c r="AO106" s="323"/>
      <c r="AP106" s="323"/>
      <c r="AQ106" s="79" t="s">
        <v>87</v>
      </c>
      <c r="AR106" s="76"/>
      <c r="AS106" s="80">
        <v>0</v>
      </c>
      <c r="AT106" s="81">
        <f t="shared" si="1"/>
        <v>0</v>
      </c>
      <c r="AU106" s="82">
        <f>4.52342</f>
        <v>4.5234199999999998</v>
      </c>
      <c r="AV106" s="81" t="str">
        <f>"ROAD M.A.A.T. s.r.o., Petra Stejskalová"</f>
        <v>ROAD M.A.A.T. s.r.o., Petra Stejskalová</v>
      </c>
      <c r="AW106" s="81">
        <f/>
        <v>0</v>
      </c>
      <c r="AX106" s="81" t="str">
        <f>"Cena celkem [CZK]"</f>
        <v>Cena celkem [CZK]</v>
      </c>
      <c r="AY106" s="81">
        <f>593769.68</f>
        <v>593769.68000000005</v>
      </c>
      <c r="AZ106" s="81" t="str">
        <f>" "</f>
        <v xml:space="preserve"> </v>
      </c>
      <c r="BA106" s="81">
        <f/>
        <v>0</v>
      </c>
      <c r="BB106" s="81" t="str">
        <f>"Popis"</f>
        <v>Popis</v>
      </c>
      <c r="BC106" s="81">
        <f/>
        <v>0</v>
      </c>
      <c r="BD106" s="83" t="str">
        <f>"Práce a dodávky HSV"</f>
        <v>Práce a dodávky HSV</v>
      </c>
      <c r="BT106" s="84" t="s">
        <v>88</v>
      </c>
      <c r="BV106" s="84" t="s">
        <v>83</v>
      </c>
      <c r="BW106" s="84" t="s">
        <v>123</v>
      </c>
      <c r="BX106" s="84" t="s">
        <v>117</v>
      </c>
      <c r="CL106" s="84" t="s">
        <v>18</v>
      </c>
      <c r="CM106" s="84" t="s">
        <v>20</v>
      </c>
    </row>
    <row r="107" spans="1:91" s="6" customFormat="1" ht="16.5" customHeight="1" x14ac:dyDescent="0.3">
      <c r="A107" s="75"/>
      <c r="B107" s="76"/>
      <c r="C107" s="77"/>
      <c r="D107" s="285" t="s">
        <v>124</v>
      </c>
      <c r="E107" s="285"/>
      <c r="F107" s="285"/>
      <c r="G107" s="285"/>
      <c r="H107" s="285"/>
      <c r="I107" s="78"/>
      <c r="J107" s="285" t="s">
        <v>125</v>
      </c>
      <c r="K107" s="285"/>
      <c r="L107" s="285"/>
      <c r="M107" s="285"/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  <c r="X107" s="285"/>
      <c r="Y107" s="285"/>
      <c r="Z107" s="285"/>
      <c r="AA107" s="285"/>
      <c r="AB107" s="285"/>
      <c r="AC107" s="285"/>
      <c r="AD107" s="285"/>
      <c r="AE107" s="285"/>
      <c r="AF107" s="285"/>
      <c r="AG107" s="322">
        <f>'SO 104.II MK'!J30</f>
        <v>2591088.61</v>
      </c>
      <c r="AH107" s="323"/>
      <c r="AI107" s="323"/>
      <c r="AJ107" s="323"/>
      <c r="AK107" s="323"/>
      <c r="AL107" s="323"/>
      <c r="AM107" s="323"/>
      <c r="AN107" s="322">
        <f>SUM(AG107,AT107)</f>
        <v>2591088.61</v>
      </c>
      <c r="AO107" s="323"/>
      <c r="AP107" s="323"/>
      <c r="AQ107" s="79" t="s">
        <v>87</v>
      </c>
      <c r="AR107" s="76"/>
      <c r="AS107" s="80">
        <v>0</v>
      </c>
      <c r="AT107" s="81">
        <f>ROUND(SUM(AV107:AW107),2)</f>
        <v>0</v>
      </c>
      <c r="AU107" s="82">
        <f>105.31864</f>
        <v>105.31864000000002</v>
      </c>
      <c r="AV107" s="81" t="str">
        <f>"ROAD M.A.A.T. s.r.o., Petra Stejskalová"</f>
        <v>ROAD M.A.A.T. s.r.o., Petra Stejskalová</v>
      </c>
      <c r="AW107" s="81">
        <f/>
        <v>0</v>
      </c>
      <c r="AX107" s="81" t="str">
        <f>"Cena celkem [CZK]"</f>
        <v>Cena celkem [CZK]</v>
      </c>
      <c r="AY107" s="81">
        <f>2250045.76</f>
        <v>2250045.7600000002</v>
      </c>
      <c r="AZ107" s="81" t="str">
        <f>" "</f>
        <v xml:space="preserve"> </v>
      </c>
      <c r="BA107" s="81">
        <f/>
        <v>0</v>
      </c>
      <c r="BB107" s="81" t="str">
        <f>"Popis"</f>
        <v>Popis</v>
      </c>
      <c r="BC107" s="81">
        <f/>
        <v>0</v>
      </c>
      <c r="BD107" s="83" t="str">
        <f>"Práce a dodávky HSV"</f>
        <v>Práce a dodávky HSV</v>
      </c>
      <c r="BT107" s="84" t="s">
        <v>88</v>
      </c>
      <c r="BV107" s="84" t="s">
        <v>83</v>
      </c>
      <c r="BW107" s="84" t="s">
        <v>126</v>
      </c>
      <c r="BX107" s="84" t="s">
        <v>117</v>
      </c>
      <c r="CL107" s="84" t="s">
        <v>18</v>
      </c>
      <c r="CM107" s="84" t="s">
        <v>20</v>
      </c>
    </row>
    <row r="108" spans="1:91" s="6" customFormat="1" ht="16.5" customHeight="1" x14ac:dyDescent="0.3">
      <c r="A108" s="75"/>
      <c r="B108" s="76"/>
      <c r="C108" s="77"/>
      <c r="D108" s="285" t="s">
        <v>127</v>
      </c>
      <c r="E108" s="285"/>
      <c r="F108" s="285"/>
      <c r="G108" s="285"/>
      <c r="H108" s="285"/>
      <c r="I108" s="78">
        <v>60000</v>
      </c>
      <c r="J108" s="285" t="s">
        <v>128</v>
      </c>
      <c r="K108" s="285"/>
      <c r="L108" s="285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  <c r="AE108" s="285"/>
      <c r="AF108" s="285"/>
      <c r="AG108" s="322">
        <f>'SO 105.II Přechody'!J30</f>
        <v>27820.240000000002</v>
      </c>
      <c r="AH108" s="323"/>
      <c r="AI108" s="323"/>
      <c r="AJ108" s="323"/>
      <c r="AK108" s="323"/>
      <c r="AL108" s="323"/>
      <c r="AM108" s="323"/>
      <c r="AN108" s="322">
        <f>AG108*1.21</f>
        <v>33662.490400000002</v>
      </c>
      <c r="AO108" s="323"/>
      <c r="AP108" s="323"/>
      <c r="AQ108" s="79" t="s">
        <v>87</v>
      </c>
      <c r="AR108" s="76"/>
      <c r="AS108" s="80">
        <v>0</v>
      </c>
      <c r="AT108" s="81">
        <f t="shared" si="1"/>
        <v>22204.9</v>
      </c>
      <c r="AU108" s="82">
        <f/>
        <v>0</v>
      </c>
      <c r="AV108" s="81">
        <f>11102.45</f>
        <v>11102.449999999999</v>
      </c>
      <c r="AW108" s="81">
        <f>11102.45</f>
        <v>11102.449999999999</v>
      </c>
      <c r="AX108" s="81">
        <f>11100.2</f>
        <v>11100.199999999999</v>
      </c>
      <c r="AY108" s="81">
        <f>10737.89</f>
        <v>10737.89</v>
      </c>
      <c r="AZ108" s="81">
        <f/>
        <v>0</v>
      </c>
      <c r="BA108" s="81" t="str">
        <f>"Práce a dodávky HSV"</f>
        <v>Práce a dodávky HSV</v>
      </c>
      <c r="BB108" s="81" t="str">
        <f>"Ostatní konstrukce a práce, bourání"</f>
        <v>Ostatní konstrukce a práce, bourání</v>
      </c>
      <c r="BC108" s="81" t="str">
        <f>"Vodorovné značení předformovaným termoplastem vodící pás pro slabozraké z 6 proužků"</f>
        <v>Vodorovné značení předformovaným termoplastem vodící pás pro slabozraké z 6 proužků</v>
      </c>
      <c r="BD108" s="83" t="str">
        <f>"https://podminky.urs.cz/item/CS_URS_2023_01/915321115"</f>
        <v>https://podminky.urs.cz/item/CS_URS_2023_01/915321115</v>
      </c>
      <c r="BT108" s="84" t="s">
        <v>88</v>
      </c>
      <c r="BV108" s="84" t="s">
        <v>83</v>
      </c>
      <c r="BW108" s="84" t="s">
        <v>129</v>
      </c>
      <c r="BX108" s="84" t="s">
        <v>117</v>
      </c>
      <c r="CL108" s="84" t="s">
        <v>18</v>
      </c>
      <c r="CM108" s="84" t="s">
        <v>20</v>
      </c>
    </row>
    <row r="109" spans="1:91" s="6" customFormat="1" ht="16.5" customHeight="1" x14ac:dyDescent="0.3">
      <c r="A109" s="75"/>
      <c r="B109" s="76"/>
      <c r="C109" s="77"/>
      <c r="D109" s="285" t="s">
        <v>130</v>
      </c>
      <c r="E109" s="285"/>
      <c r="F109" s="285"/>
      <c r="G109" s="285"/>
      <c r="H109" s="285"/>
      <c r="I109" s="78"/>
      <c r="J109" s="285" t="s">
        <v>131</v>
      </c>
      <c r="K109" s="285"/>
      <c r="L109" s="285"/>
      <c r="M109" s="285"/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  <c r="X109" s="285"/>
      <c r="Y109" s="285"/>
      <c r="Z109" s="285"/>
      <c r="AA109" s="285"/>
      <c r="AB109" s="285"/>
      <c r="AC109" s="285"/>
      <c r="AD109" s="285"/>
      <c r="AE109" s="285"/>
      <c r="AF109" s="285"/>
      <c r="AG109" s="322">
        <f>'SO 106.II Sjezd'!J30</f>
        <v>587468.56000000006</v>
      </c>
      <c r="AH109" s="323"/>
      <c r="AI109" s="323"/>
      <c r="AJ109" s="323"/>
      <c r="AK109" s="323"/>
      <c r="AL109" s="323"/>
      <c r="AM109" s="323"/>
      <c r="AN109" s="322">
        <f t="shared" si="0"/>
        <v>587468.56000000006</v>
      </c>
      <c r="AO109" s="323"/>
      <c r="AP109" s="323"/>
      <c r="AQ109" s="79" t="s">
        <v>87</v>
      </c>
      <c r="AR109" s="76"/>
      <c r="AS109" s="80">
        <v>0</v>
      </c>
      <c r="AT109" s="81">
        <f t="shared" si="1"/>
        <v>0</v>
      </c>
      <c r="AU109" s="82">
        <f/>
        <v>0</v>
      </c>
      <c r="AV109" s="81" t="str">
        <f>"ROAD M.A.A.T. s.r.o., Petra Stejskalová"</f>
        <v>ROAD M.A.A.T. s.r.o., Petra Stejskalová</v>
      </c>
      <c r="AW109" s="81">
        <f/>
        <v>0</v>
      </c>
      <c r="AX109" s="81" t="str">
        <f>"Cena celkem [CZK]"</f>
        <v>Cena celkem [CZK]</v>
      </c>
      <c r="AY109" s="81">
        <f>524087.43</f>
        <v>524087.43</v>
      </c>
      <c r="AZ109" s="81" t="str">
        <f>" "</f>
        <v xml:space="preserve"> </v>
      </c>
      <c r="BA109" s="81">
        <f/>
        <v>0</v>
      </c>
      <c r="BB109" s="81" t="str">
        <f>"Popis"</f>
        <v>Popis</v>
      </c>
      <c r="BC109" s="81">
        <f/>
        <v>0</v>
      </c>
      <c r="BD109" s="83" t="str">
        <f>"Práce a dodávky HSV"</f>
        <v>Práce a dodávky HSV</v>
      </c>
      <c r="BT109" s="84" t="s">
        <v>88</v>
      </c>
      <c r="BV109" s="84" t="s">
        <v>83</v>
      </c>
      <c r="BW109" s="84" t="s">
        <v>132</v>
      </c>
      <c r="BX109" s="84" t="s">
        <v>117</v>
      </c>
      <c r="CL109" s="84" t="s">
        <v>18</v>
      </c>
      <c r="CM109" s="84" t="s">
        <v>20</v>
      </c>
    </row>
    <row r="110" spans="1:91" s="6" customFormat="1" ht="16.5" customHeight="1" x14ac:dyDescent="0.3">
      <c r="A110" s="75"/>
      <c r="B110" s="76"/>
      <c r="C110" s="77"/>
      <c r="D110" s="285" t="s">
        <v>133</v>
      </c>
      <c r="E110" s="285"/>
      <c r="F110" s="285"/>
      <c r="G110" s="285"/>
      <c r="H110" s="285"/>
      <c r="I110" s="78">
        <v>12500</v>
      </c>
      <c r="J110" s="285" t="s">
        <v>134</v>
      </c>
      <c r="K110" s="285"/>
      <c r="L110" s="28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285"/>
      <c r="AD110" s="285"/>
      <c r="AE110" s="285"/>
      <c r="AF110" s="285"/>
      <c r="AG110" s="322">
        <f>'SO 303.II Odvodnění'!J30</f>
        <v>4863494.5</v>
      </c>
      <c r="AH110" s="323"/>
      <c r="AI110" s="323"/>
      <c r="AJ110" s="323"/>
      <c r="AK110" s="323"/>
      <c r="AL110" s="323"/>
      <c r="AM110" s="323"/>
      <c r="AN110" s="322">
        <f t="shared" si="0"/>
        <v>4863494.5</v>
      </c>
      <c r="AO110" s="323"/>
      <c r="AP110" s="323"/>
      <c r="AQ110" s="79" t="s">
        <v>87</v>
      </c>
      <c r="AR110" s="76"/>
      <c r="AS110" s="80">
        <v>0</v>
      </c>
      <c r="AT110" s="81">
        <f t="shared" si="1"/>
        <v>0</v>
      </c>
      <c r="AU110" s="82">
        <f>79.6858</f>
        <v>79.6858</v>
      </c>
      <c r="AV110" s="81">
        <f/>
        <v>0</v>
      </c>
      <c r="AW110" s="81">
        <f/>
        <v>0</v>
      </c>
      <c r="AX110" s="81">
        <f/>
        <v>0</v>
      </c>
      <c r="AY110" s="81">
        <f/>
        <v>0</v>
      </c>
      <c r="AZ110" s="81">
        <f/>
        <v>0</v>
      </c>
      <c r="BA110" s="81">
        <f/>
        <v>0</v>
      </c>
      <c r="BB110" s="81">
        <f/>
        <v>0</v>
      </c>
      <c r="BC110" s="81">
        <f/>
        <v>0</v>
      </c>
      <c r="BD110" s="83">
        <f/>
        <v>0</v>
      </c>
      <c r="BT110" s="84" t="s">
        <v>88</v>
      </c>
      <c r="BV110" s="84" t="s">
        <v>83</v>
      </c>
      <c r="BW110" s="84" t="s">
        <v>135</v>
      </c>
      <c r="BX110" s="84" t="s">
        <v>117</v>
      </c>
      <c r="CL110" s="84" t="s">
        <v>18</v>
      </c>
      <c r="CM110" s="84" t="s">
        <v>20</v>
      </c>
    </row>
    <row r="111" spans="1:91" s="6" customFormat="1" ht="16.5" customHeight="1" x14ac:dyDescent="0.3">
      <c r="A111" s="75"/>
      <c r="B111" s="76"/>
      <c r="C111" s="77"/>
      <c r="D111" s="285" t="s">
        <v>136</v>
      </c>
      <c r="E111" s="285"/>
      <c r="F111" s="285"/>
      <c r="G111" s="285"/>
      <c r="H111" s="285"/>
      <c r="I111" s="78"/>
      <c r="J111" s="285" t="s">
        <v>137</v>
      </c>
      <c r="K111" s="285"/>
      <c r="L111" s="285"/>
      <c r="M111" s="285"/>
      <c r="N111" s="285"/>
      <c r="O111" s="285"/>
      <c r="P111" s="285"/>
      <c r="Q111" s="285"/>
      <c r="R111" s="285"/>
      <c r="S111" s="285"/>
      <c r="T111" s="285"/>
      <c r="U111" s="285"/>
      <c r="V111" s="285"/>
      <c r="W111" s="285"/>
      <c r="X111" s="285"/>
      <c r="Y111" s="285"/>
      <c r="Z111" s="285"/>
      <c r="AA111" s="285"/>
      <c r="AB111" s="285"/>
      <c r="AC111" s="285"/>
      <c r="AD111" s="285"/>
      <c r="AE111" s="285"/>
      <c r="AF111" s="285"/>
      <c r="AG111" s="322">
        <f>'SO 401.II VO'!J30</f>
        <v>687476.4</v>
      </c>
      <c r="AH111" s="323"/>
      <c r="AI111" s="323"/>
      <c r="AJ111" s="323"/>
      <c r="AK111" s="323"/>
      <c r="AL111" s="323"/>
      <c r="AM111" s="323"/>
      <c r="AN111" s="322">
        <f t="shared" si="0"/>
        <v>687476.4</v>
      </c>
      <c r="AO111" s="323"/>
      <c r="AP111" s="323"/>
      <c r="AQ111" s="79" t="s">
        <v>87</v>
      </c>
      <c r="AR111" s="76"/>
      <c r="AS111" s="80">
        <v>0</v>
      </c>
      <c r="AT111" s="81">
        <f t="shared" si="1"/>
        <v>0</v>
      </c>
      <c r="AU111" s="82">
        <f>0</f>
        <v>0</v>
      </c>
      <c r="AV111" s="81">
        <f/>
        <v>0</v>
      </c>
      <c r="AW111" s="81" t="str">
        <f>"22. 3. 2023"</f>
        <v>22. 3. 2023</v>
      </c>
      <c r="AX111" s="81">
        <f/>
        <v>0</v>
      </c>
      <c r="AY111" s="81" t="str">
        <f>"Ing. arch. Martin Jirovský Ph.D., MBA"</f>
        <v>Ing. arch. Martin Jirovský Ph.D., MBA</v>
      </c>
      <c r="AZ111" s="81">
        <f/>
        <v>0</v>
      </c>
      <c r="BA111" s="81" t="str">
        <f>"Dobrovice"</f>
        <v>Dobrovice</v>
      </c>
      <c r="BB111" s="81">
        <f/>
        <v>0</v>
      </c>
      <c r="BC111" s="81" t="str">
        <f>"Vodovody a kanalizace Mladá Boleslav, a.s."</f>
        <v>Vodovody a kanalizace Mladá Boleslav, a.s.</v>
      </c>
      <c r="BD111" s="83" t="str">
        <f>" "</f>
        <v xml:space="preserve"> </v>
      </c>
      <c r="BT111" s="84" t="s">
        <v>88</v>
      </c>
      <c r="BV111" s="84" t="s">
        <v>83</v>
      </c>
      <c r="BW111" s="84" t="s">
        <v>138</v>
      </c>
      <c r="BX111" s="84" t="s">
        <v>117</v>
      </c>
      <c r="CL111" s="84" t="s">
        <v>1</v>
      </c>
      <c r="CM111" s="84" t="s">
        <v>20</v>
      </c>
    </row>
    <row r="112" spans="1:91" s="6" customFormat="1" ht="16.5" customHeight="1" x14ac:dyDescent="0.3">
      <c r="A112" s="75"/>
      <c r="B112" s="76"/>
      <c r="C112" s="77"/>
      <c r="D112" s="285" t="s">
        <v>139</v>
      </c>
      <c r="E112" s="285"/>
      <c r="F112" s="285"/>
      <c r="G112" s="285"/>
      <c r="H112" s="285"/>
      <c r="I112" s="78">
        <v>55000</v>
      </c>
      <c r="J112" s="285" t="s">
        <v>140</v>
      </c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  <c r="AA112" s="285"/>
      <c r="AB112" s="285"/>
      <c r="AC112" s="285"/>
      <c r="AD112" s="285"/>
      <c r="AE112" s="285"/>
      <c r="AF112" s="285"/>
      <c r="AG112" s="322">
        <f>'SO 404.II Optika'!J30</f>
        <v>231090.7</v>
      </c>
      <c r="AH112" s="323"/>
      <c r="AI112" s="323"/>
      <c r="AJ112" s="323"/>
      <c r="AK112" s="323"/>
      <c r="AL112" s="323"/>
      <c r="AM112" s="323"/>
      <c r="AN112" s="322">
        <f t="shared" si="0"/>
        <v>231090.7</v>
      </c>
      <c r="AO112" s="323"/>
      <c r="AP112" s="323"/>
      <c r="AQ112" s="79" t="s">
        <v>87</v>
      </c>
      <c r="AR112" s="76"/>
      <c r="AS112" s="80">
        <v>0</v>
      </c>
      <c r="AT112" s="81">
        <f t="shared" si="1"/>
        <v>0</v>
      </c>
      <c r="AU112" s="82">
        <f/>
        <v>0</v>
      </c>
      <c r="AV112" s="81" t="str">
        <f>"22. 3. 2023"</f>
        <v>22. 3. 2023</v>
      </c>
      <c r="AW112" s="81">
        <f/>
        <v>0</v>
      </c>
      <c r="AX112" s="81" t="str">
        <f>"Ing. arch. Martin Jirovský Ph.D., MBA"</f>
        <v>Ing. arch. Martin Jirovský Ph.D., MBA</v>
      </c>
      <c r="AY112" s="81" t="str">
        <f>"ROAD M.A.A.T. s.r.o., Petra Stejskalová"</f>
        <v>ROAD M.A.A.T. s.r.o., Petra Stejskalová</v>
      </c>
      <c r="AZ112" s="81" t="str">
        <f>"Dobrovice"</f>
        <v>Dobrovice</v>
      </c>
      <c r="BA112" s="81">
        <f/>
        <v>0</v>
      </c>
      <c r="BB112" s="81" t="str">
        <f>"Vodovody a kanalizace Mladá Boleslav, a.s."</f>
        <v>Vodovody a kanalizace Mladá Boleslav, a.s.</v>
      </c>
      <c r="BC112" s="81" t="str">
        <f>" "</f>
        <v xml:space="preserve"> </v>
      </c>
      <c r="BD112" s="83">
        <f/>
        <v>0</v>
      </c>
      <c r="BT112" s="84" t="s">
        <v>88</v>
      </c>
      <c r="BV112" s="84" t="s">
        <v>83</v>
      </c>
      <c r="BW112" s="84" t="s">
        <v>141</v>
      </c>
      <c r="BX112" s="84" t="s">
        <v>117</v>
      </c>
      <c r="CL112" s="84" t="s">
        <v>1</v>
      </c>
      <c r="CM112" s="84" t="s">
        <v>20</v>
      </c>
    </row>
    <row r="113" spans="1:91" s="6" customFormat="1" ht="16.5" customHeight="1" x14ac:dyDescent="0.3">
      <c r="A113" s="75"/>
      <c r="B113" s="76"/>
      <c r="C113" s="77"/>
      <c r="D113" s="285" t="s">
        <v>142</v>
      </c>
      <c r="E113" s="285"/>
      <c r="F113" s="285"/>
      <c r="G113" s="285"/>
      <c r="H113" s="285"/>
      <c r="I113" s="78"/>
      <c r="J113" s="285" t="s">
        <v>143</v>
      </c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  <c r="X113" s="285"/>
      <c r="Y113" s="285"/>
      <c r="Z113" s="285"/>
      <c r="AA113" s="285"/>
      <c r="AB113" s="285"/>
      <c r="AC113" s="285"/>
      <c r="AD113" s="285"/>
      <c r="AE113" s="285"/>
      <c r="AF113" s="285"/>
      <c r="AG113" s="322">
        <f>'SO 801.II Sad'!J30</f>
        <v>52053.63</v>
      </c>
      <c r="AH113" s="323"/>
      <c r="AI113" s="323"/>
      <c r="AJ113" s="323"/>
      <c r="AK113" s="323"/>
      <c r="AL113" s="323"/>
      <c r="AM113" s="323"/>
      <c r="AN113" s="322">
        <f t="shared" si="0"/>
        <v>52053.63</v>
      </c>
      <c r="AO113" s="323"/>
      <c r="AP113" s="323"/>
      <c r="AQ113" s="79" t="s">
        <v>87</v>
      </c>
      <c r="AR113" s="76"/>
      <c r="AS113" s="80">
        <v>0</v>
      </c>
      <c r="AT113" s="81">
        <f t="shared" si="1"/>
        <v>0</v>
      </c>
      <c r="AU113" s="82">
        <f/>
        <v>0</v>
      </c>
      <c r="AV113" s="81">
        <f/>
        <v>0</v>
      </c>
      <c r="AW113" s="81" t="str">
        <f>"Cena celkem [CZK]"</f>
        <v>Cena celkem [CZK]</v>
      </c>
      <c r="AX113" s="81">
        <f>37679.88</f>
        <v>37679.879999999997</v>
      </c>
      <c r="AY113" s="81">
        <f>37679.88</f>
        <v>37679.879999999997</v>
      </c>
      <c r="AZ113" s="81">
        <f/>
        <v>0</v>
      </c>
      <c r="BA113" s="81" t="str">
        <f>"Popis"</f>
        <v>Popis</v>
      </c>
      <c r="BB113" s="81">
        <f/>
        <v>0</v>
      </c>
      <c r="BC113" s="81" t="str">
        <f>"Práce a dodávky HSV"</f>
        <v>Práce a dodávky HSV</v>
      </c>
      <c r="BD113" s="83" t="str">
        <f>"Zemní práce"</f>
        <v>Zemní práce</v>
      </c>
      <c r="BT113" s="84" t="s">
        <v>88</v>
      </c>
      <c r="BV113" s="84" t="s">
        <v>83</v>
      </c>
      <c r="BW113" s="84" t="s">
        <v>144</v>
      </c>
      <c r="BX113" s="84" t="s">
        <v>117</v>
      </c>
      <c r="CL113" s="84" t="s">
        <v>18</v>
      </c>
      <c r="CM113" s="84" t="s">
        <v>20</v>
      </c>
    </row>
    <row r="114" spans="1:91" s="6" customFormat="1" ht="16.5" customHeight="1" x14ac:dyDescent="0.3">
      <c r="A114" s="75"/>
      <c r="B114" s="76"/>
      <c r="C114" s="77"/>
      <c r="D114" s="285" t="s">
        <v>145</v>
      </c>
      <c r="E114" s="285"/>
      <c r="F114" s="285"/>
      <c r="G114" s="285"/>
      <c r="H114" s="285"/>
      <c r="I114" s="78">
        <v>12500</v>
      </c>
      <c r="J114" s="285" t="s">
        <v>146</v>
      </c>
      <c r="K114" s="285"/>
      <c r="L114" s="285"/>
      <c r="M114" s="285"/>
      <c r="N114" s="285"/>
      <c r="O114" s="285"/>
      <c r="P114" s="285"/>
      <c r="Q114" s="285"/>
      <c r="R114" s="285"/>
      <c r="S114" s="285"/>
      <c r="T114" s="285"/>
      <c r="U114" s="285"/>
      <c r="V114" s="285"/>
      <c r="W114" s="285"/>
      <c r="X114" s="285"/>
      <c r="Y114" s="285"/>
      <c r="Z114" s="285"/>
      <c r="AA114" s="285"/>
      <c r="AB114" s="285"/>
      <c r="AC114" s="285"/>
      <c r="AD114" s="285"/>
      <c r="AE114" s="285"/>
      <c r="AF114" s="285"/>
      <c r="AG114" s="322">
        <f>'VON I.+II.'!J30</f>
        <v>6031000.5899999999</v>
      </c>
      <c r="AH114" s="323"/>
      <c r="AI114" s="323"/>
      <c r="AJ114" s="323"/>
      <c r="AK114" s="323"/>
      <c r="AL114" s="323"/>
      <c r="AM114" s="323"/>
      <c r="AN114" s="322">
        <f t="shared" si="0"/>
        <v>7297510.71</v>
      </c>
      <c r="AO114" s="323"/>
      <c r="AP114" s="323"/>
      <c r="AQ114" s="79" t="s">
        <v>147</v>
      </c>
      <c r="AR114" s="76"/>
      <c r="AS114" s="85">
        <v>0</v>
      </c>
      <c r="AT114" s="86">
        <f t="shared" si="1"/>
        <v>1266510.1200000001</v>
      </c>
      <c r="AU114" s="87">
        <f>'VON I.+II.'!P126</f>
        <v>0</v>
      </c>
      <c r="AV114" s="86">
        <f>'VON I.+II.'!J33</f>
        <v>1266510.1200000001</v>
      </c>
      <c r="AW114" s="86">
        <f>'VON I.+II.'!J34</f>
        <v>0</v>
      </c>
      <c r="AX114" s="86">
        <f>'VON I.+II.'!J35</f>
        <v>0</v>
      </c>
      <c r="AY114" s="86">
        <f>'VON I.+II.'!J36</f>
        <v>0</v>
      </c>
      <c r="AZ114" s="86">
        <f>'VON I.+II.'!F33</f>
        <v>6031000.5899999999</v>
      </c>
      <c r="BA114" s="86">
        <f>'VON I.+II.'!F34</f>
        <v>0</v>
      </c>
      <c r="BB114" s="86">
        <f>'VON I.+II.'!F35</f>
        <v>0</v>
      </c>
      <c r="BC114" s="86">
        <f>'VON I.+II.'!F36</f>
        <v>0</v>
      </c>
      <c r="BD114" s="88">
        <f>'VON I.+II.'!F37</f>
        <v>0</v>
      </c>
      <c r="BT114" s="84" t="s">
        <v>88</v>
      </c>
      <c r="BV114" s="84" t="s">
        <v>83</v>
      </c>
      <c r="BW114" s="84" t="s">
        <v>148</v>
      </c>
      <c r="BX114" s="84" t="s">
        <v>4</v>
      </c>
      <c r="CL114" s="84" t="s">
        <v>1</v>
      </c>
      <c r="CM114" s="84" t="s">
        <v>20</v>
      </c>
    </row>
    <row r="115" spans="1:91" s="1" customFormat="1" ht="7.5" customHeight="1" x14ac:dyDescent="0.3">
      <c r="B115" s="33"/>
      <c r="I115" s="89"/>
      <c r="AR115" s="33"/>
    </row>
    <row r="116" spans="1:91" s="1" customFormat="1" ht="6.95" customHeight="1" x14ac:dyDescent="0.3">
      <c r="B116" s="45"/>
      <c r="C116" s="46"/>
      <c r="D116" s="46"/>
      <c r="E116" s="46"/>
      <c r="F116" s="46"/>
      <c r="G116" s="46"/>
      <c r="H116" s="46"/>
      <c r="I116" s="90">
        <v>12500</v>
      </c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33"/>
    </row>
    <row r="117" spans="1:91" x14ac:dyDescent="0.3">
      <c r="I117" s="91"/>
    </row>
    <row r="118" spans="1:91" x14ac:dyDescent="0.3">
      <c r="I118" s="91"/>
    </row>
    <row r="119" spans="1:91" x14ac:dyDescent="0.3">
      <c r="I119" s="91">
        <v>10000</v>
      </c>
    </row>
    <row r="120" spans="1:91" x14ac:dyDescent="0.3">
      <c r="I120" s="91"/>
    </row>
    <row r="121" spans="1:91" x14ac:dyDescent="0.3">
      <c r="I121" s="91">
        <v>45000</v>
      </c>
    </row>
    <row r="122" spans="1:91" x14ac:dyDescent="0.3">
      <c r="I122" s="91"/>
    </row>
    <row r="123" spans="1:91" x14ac:dyDescent="0.3">
      <c r="I123" s="91"/>
    </row>
    <row r="124" spans="1:91" x14ac:dyDescent="0.3">
      <c r="I124" s="91">
        <v>15000</v>
      </c>
    </row>
    <row r="125" spans="1:91" x14ac:dyDescent="0.3">
      <c r="I125" s="91"/>
    </row>
    <row r="126" spans="1:91" x14ac:dyDescent="0.3">
      <c r="I126" s="91">
        <v>200000</v>
      </c>
    </row>
    <row r="127" spans="1:91" x14ac:dyDescent="0.3">
      <c r="I127" s="91"/>
    </row>
    <row r="128" spans="1:91" x14ac:dyDescent="0.3">
      <c r="I128" s="91">
        <v>20000</v>
      </c>
    </row>
    <row r="129" spans="9:9" x14ac:dyDescent="0.3">
      <c r="I129" s="91"/>
    </row>
    <row r="130" spans="9:9" x14ac:dyDescent="0.3">
      <c r="I130" s="91">
        <v>85000</v>
      </c>
    </row>
    <row r="131" spans="9:9" x14ac:dyDescent="0.3">
      <c r="I131" s="91"/>
    </row>
    <row r="132" spans="9:9" x14ac:dyDescent="0.3">
      <c r="I132" s="91">
        <v>10000</v>
      </c>
    </row>
    <row r="133" spans="9:9" x14ac:dyDescent="0.3">
      <c r="I133" s="91"/>
    </row>
    <row r="134" spans="9:9" x14ac:dyDescent="0.3">
      <c r="I134" s="91">
        <v>100000</v>
      </c>
    </row>
    <row r="135" spans="9:9" x14ac:dyDescent="0.3">
      <c r="I135" s="91"/>
    </row>
    <row r="136" spans="9:9" x14ac:dyDescent="0.3">
      <c r="I136" s="91"/>
    </row>
    <row r="137" spans="9:9" x14ac:dyDescent="0.3">
      <c r="I137" s="91">
        <v>10000</v>
      </c>
    </row>
    <row r="138" spans="9:9" x14ac:dyDescent="0.3">
      <c r="I138" s="91"/>
    </row>
    <row r="139" spans="9:9" x14ac:dyDescent="0.3">
      <c r="I139" s="91">
        <v>10000</v>
      </c>
    </row>
    <row r="140" spans="9:9" x14ac:dyDescent="0.3">
      <c r="I140" s="91"/>
    </row>
    <row r="141" spans="9:9" x14ac:dyDescent="0.3">
      <c r="I141" s="91">
        <v>10000</v>
      </c>
    </row>
    <row r="142" spans="9:9" x14ac:dyDescent="0.3">
      <c r="I142" s="91"/>
    </row>
    <row r="143" spans="9:9" x14ac:dyDescent="0.3">
      <c r="I143" s="91">
        <v>10000</v>
      </c>
    </row>
    <row r="144" spans="9:9" x14ac:dyDescent="0.3">
      <c r="I144" s="91"/>
    </row>
    <row r="145" spans="9:9" x14ac:dyDescent="0.3">
      <c r="I145" s="91">
        <v>10000</v>
      </c>
    </row>
    <row r="146" spans="9:9" x14ac:dyDescent="0.3">
      <c r="I146" s="91"/>
    </row>
    <row r="147" spans="9:9" x14ac:dyDescent="0.3">
      <c r="I147" s="91">
        <v>10000</v>
      </c>
    </row>
    <row r="148" spans="9:9" x14ac:dyDescent="0.3">
      <c r="I148" s="91"/>
    </row>
    <row r="149" spans="9:9" x14ac:dyDescent="0.3">
      <c r="I149" s="91">
        <v>10000</v>
      </c>
    </row>
    <row r="150" spans="9:9" x14ac:dyDescent="0.3">
      <c r="I150" s="91"/>
    </row>
    <row r="151" spans="9:9" x14ac:dyDescent="0.3">
      <c r="I151" s="91"/>
    </row>
    <row r="152" spans="9:9" x14ac:dyDescent="0.3">
      <c r="I152" s="91"/>
    </row>
    <row r="153" spans="9:9" x14ac:dyDescent="0.3">
      <c r="I153" s="91"/>
    </row>
    <row r="154" spans="9:9" x14ac:dyDescent="0.3">
      <c r="I154" s="91">
        <v>25000</v>
      </c>
    </row>
    <row r="155" spans="9:9" x14ac:dyDescent="0.3">
      <c r="I155" s="91"/>
    </row>
    <row r="156" spans="9:9" x14ac:dyDescent="0.3">
      <c r="I156" s="91">
        <v>10000</v>
      </c>
    </row>
    <row r="157" spans="9:9" x14ac:dyDescent="0.3">
      <c r="I157" s="91"/>
    </row>
    <row r="158" spans="9:9" x14ac:dyDescent="0.3">
      <c r="I158" s="91">
        <v>150000</v>
      </c>
    </row>
    <row r="159" spans="9:9" x14ac:dyDescent="0.3">
      <c r="I159" s="91"/>
    </row>
    <row r="160" spans="9:9" x14ac:dyDescent="0.3">
      <c r="I160" s="91"/>
    </row>
    <row r="161" spans="9:9" x14ac:dyDescent="0.3">
      <c r="I161" s="91">
        <v>10000</v>
      </c>
    </row>
    <row r="162" spans="9:9" x14ac:dyDescent="0.3">
      <c r="I162" s="91"/>
    </row>
    <row r="163" spans="9:9" x14ac:dyDescent="0.3">
      <c r="I163" s="91">
        <v>15000</v>
      </c>
    </row>
    <row r="164" spans="9:9" x14ac:dyDescent="0.3">
      <c r="I164" s="91">
        <v>10000</v>
      </c>
    </row>
    <row r="165" spans="9:9" x14ac:dyDescent="0.3">
      <c r="I165" s="91"/>
    </row>
    <row r="166" spans="9:9" x14ac:dyDescent="0.3">
      <c r="I166" s="91">
        <v>50000</v>
      </c>
    </row>
  </sheetData>
  <sheetProtection sheet="1" objects="1" scenarios="1"/>
  <mergeCells count="118">
    <mergeCell ref="AN110:AP110"/>
    <mergeCell ref="AN111:AP111"/>
    <mergeCell ref="AN112:AP112"/>
    <mergeCell ref="AN113:AP113"/>
    <mergeCell ref="AN109:AP109"/>
    <mergeCell ref="AN114:AP114"/>
    <mergeCell ref="AN107:AP107"/>
    <mergeCell ref="AN108:AP108"/>
    <mergeCell ref="AN100:AP100"/>
    <mergeCell ref="AN106:AP106"/>
    <mergeCell ref="AN105:AP105"/>
    <mergeCell ref="AN104:AP104"/>
    <mergeCell ref="AN103:AP103"/>
    <mergeCell ref="AN102:AP102"/>
    <mergeCell ref="AN101:AP101"/>
    <mergeCell ref="J112:AF112"/>
    <mergeCell ref="AG112:AM112"/>
    <mergeCell ref="AG113:AM113"/>
    <mergeCell ref="J113:AF113"/>
    <mergeCell ref="J114:AF114"/>
    <mergeCell ref="AG114:AM114"/>
    <mergeCell ref="J109:AF109"/>
    <mergeCell ref="AG109:AM109"/>
    <mergeCell ref="J110:AF110"/>
    <mergeCell ref="AG110:AM110"/>
    <mergeCell ref="AG111:AM111"/>
    <mergeCell ref="J111:AF111"/>
    <mergeCell ref="AG106:AM106"/>
    <mergeCell ref="J106:AF106"/>
    <mergeCell ref="AG107:AM107"/>
    <mergeCell ref="J107:AF107"/>
    <mergeCell ref="J108:AF108"/>
    <mergeCell ref="AG108:AM108"/>
    <mergeCell ref="J103:AF103"/>
    <mergeCell ref="AG103:AM103"/>
    <mergeCell ref="J104:AF104"/>
    <mergeCell ref="AG104:AM104"/>
    <mergeCell ref="AG105:AM105"/>
    <mergeCell ref="J105:AF105"/>
    <mergeCell ref="AG100:AM100"/>
    <mergeCell ref="J100:AF100"/>
    <mergeCell ref="AG101:AM101"/>
    <mergeCell ref="J101:AF101"/>
    <mergeCell ref="J102:AF102"/>
    <mergeCell ref="AG102:AM102"/>
    <mergeCell ref="J98:AF98"/>
    <mergeCell ref="AN98:AP98"/>
    <mergeCell ref="AG98:AM98"/>
    <mergeCell ref="J99:AF99"/>
    <mergeCell ref="AG99:AM99"/>
    <mergeCell ref="AN99:AP99"/>
    <mergeCell ref="AN96:AP96"/>
    <mergeCell ref="AG96:AM96"/>
    <mergeCell ref="J96:AF96"/>
    <mergeCell ref="AG97:AM97"/>
    <mergeCell ref="AN97:AP97"/>
    <mergeCell ref="J97:AF97"/>
    <mergeCell ref="AN92:AP92"/>
    <mergeCell ref="AG92:AM92"/>
    <mergeCell ref="I92:AF92"/>
    <mergeCell ref="AG94:AM94"/>
    <mergeCell ref="AN94:AP94"/>
    <mergeCell ref="J95:AF95"/>
    <mergeCell ref="AG95:AM95"/>
    <mergeCell ref="AN95:AP95"/>
    <mergeCell ref="X35:AB35"/>
    <mergeCell ref="AK35:AO35"/>
    <mergeCell ref="L85:AO85"/>
    <mergeCell ref="AM87:AN87"/>
    <mergeCell ref="AS89:AT91"/>
    <mergeCell ref="AM89:AP89"/>
    <mergeCell ref="AM90:AP90"/>
    <mergeCell ref="W32:AE32"/>
    <mergeCell ref="L32:P32"/>
    <mergeCell ref="AK32:AO32"/>
    <mergeCell ref="W33:AE33"/>
    <mergeCell ref="AK33:AO33"/>
    <mergeCell ref="L33:P33"/>
    <mergeCell ref="L30:P30"/>
    <mergeCell ref="W30:AE30"/>
    <mergeCell ref="AK30:AO30"/>
    <mergeCell ref="L31:P31"/>
    <mergeCell ref="AK31:AO31"/>
    <mergeCell ref="W31:AE31"/>
    <mergeCell ref="AK28:AO28"/>
    <mergeCell ref="L28:P28"/>
    <mergeCell ref="W28:AE28"/>
    <mergeCell ref="AK29:AO29"/>
    <mergeCell ref="L29:P29"/>
    <mergeCell ref="W29:AE29"/>
    <mergeCell ref="D114:H114"/>
    <mergeCell ref="D96:H96"/>
    <mergeCell ref="D95:H95"/>
    <mergeCell ref="AR2:BE2"/>
    <mergeCell ref="BE5:BE32"/>
    <mergeCell ref="K5:AO5"/>
    <mergeCell ref="K6:AO6"/>
    <mergeCell ref="E14:AI14"/>
    <mergeCell ref="E23:AN23"/>
    <mergeCell ref="AK26:AO26"/>
    <mergeCell ref="D109:H109"/>
    <mergeCell ref="D110:H110"/>
    <mergeCell ref="D111:H111"/>
    <mergeCell ref="D112:H112"/>
    <mergeCell ref="D113:H113"/>
    <mergeCell ref="D97:H97"/>
    <mergeCell ref="D104:H104"/>
    <mergeCell ref="D105:H105"/>
    <mergeCell ref="D98:H98"/>
    <mergeCell ref="D106:H106"/>
    <mergeCell ref="D107:H107"/>
    <mergeCell ref="D108:H108"/>
    <mergeCell ref="C92:G92"/>
    <mergeCell ref="D99:H99"/>
    <mergeCell ref="D100:H100"/>
    <mergeCell ref="D101:H101"/>
    <mergeCell ref="D102:H102"/>
    <mergeCell ref="D103:H103"/>
  </mergeCells>
  <pageMargins left="0.39375001192092896" right="0.39375001192092896" top="0.39375001192092896" bottom="0.39375001192092896" header="0" footer="0"/>
  <pageSetup paperSize="9" scale="94" fitToHeight="100" orientation="landscape" errors="blank" r:id="rId1"/>
  <headerFooter>
    <oddFooter>&amp;CStrana &amp;P z &amp;N</oddFooter>
  </headerFooter>
  <ignoredErrors>
    <ignoredError sqref="AN108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0411D-F4DC-42F5-AD31-A3B0F6831AF6}">
  <sheetPr>
    <tabColor indexed="40"/>
    <pageSetUpPr fitToPage="1"/>
  </sheetPr>
  <dimension ref="B2:BM151"/>
  <sheetViews>
    <sheetView showGridLines="0" zoomScaleNormal="100" workbookViewId="0">
      <selection activeCell="I149" sqref="I149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113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1386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ROUND(J119, 2)</f>
        <v>191316.19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ROUND((SUM(BE119:BE150)),  2)</f>
        <v>191316.19</v>
      </c>
      <c r="I33" s="99">
        <v>0.21</v>
      </c>
      <c r="J33" s="98">
        <f>ROUND(((SUM(BE119:BE150))*I33),  2)</f>
        <v>40176.400000000001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ROUND((SUM(BF119:BF150)),  2)</f>
        <v>0</v>
      </c>
      <c r="I34" s="99">
        <v>0.15</v>
      </c>
      <c r="J34" s="98">
        <f>ROUND(((SUM(BF119:BF150))*I34),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ROUND((SUM(BG119:BG150)),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ROUND((SUM(BH119:BH150)),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ROUND((SUM(BI119:BI150)),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231492.59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801.I - Sadové úpravy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J119</f>
        <v>191316.19000000003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160</v>
      </c>
      <c r="E97" s="113"/>
      <c r="F97" s="113"/>
      <c r="G97" s="113"/>
      <c r="H97" s="113"/>
      <c r="I97" s="113"/>
      <c r="J97" s="114">
        <f>J120</f>
        <v>191316.19000000003</v>
      </c>
      <c r="L97" s="111"/>
    </row>
    <row r="98" spans="2:12" s="9" customFormat="1" ht="19.899999999999999" customHeight="1" x14ac:dyDescent="0.3">
      <c r="B98" s="115"/>
      <c r="D98" s="116" t="s">
        <v>161</v>
      </c>
      <c r="E98" s="117"/>
      <c r="F98" s="117"/>
      <c r="G98" s="117"/>
      <c r="H98" s="117"/>
      <c r="I98" s="117"/>
      <c r="J98" s="118">
        <f>J121</f>
        <v>148107.69000000003</v>
      </c>
      <c r="L98" s="115"/>
    </row>
    <row r="99" spans="2:12" s="9" customFormat="1" ht="19.899999999999999" customHeight="1" x14ac:dyDescent="0.3">
      <c r="B99" s="115"/>
      <c r="D99" s="116" t="s">
        <v>165</v>
      </c>
      <c r="E99" s="117"/>
      <c r="F99" s="117"/>
      <c r="G99" s="117"/>
      <c r="H99" s="117"/>
      <c r="I99" s="117"/>
      <c r="J99" s="118">
        <f>J149</f>
        <v>43208.5</v>
      </c>
      <c r="L99" s="115"/>
    </row>
    <row r="100" spans="2:12" s="1" customFormat="1" ht="21.75" customHeight="1" x14ac:dyDescent="0.3">
      <c r="B100" s="33"/>
      <c r="L100" s="33"/>
    </row>
    <row r="101" spans="2:12" s="1" customFormat="1" ht="6.95" customHeight="1" x14ac:dyDescent="0.3"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33"/>
    </row>
    <row r="105" spans="2:12" s="1" customFormat="1" ht="6.95" customHeight="1" x14ac:dyDescent="0.3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3"/>
    </row>
    <row r="106" spans="2:12" s="1" customFormat="1" ht="24.95" customHeight="1" x14ac:dyDescent="0.3">
      <c r="B106" s="33"/>
      <c r="C106" s="22" t="s">
        <v>168</v>
      </c>
      <c r="L106" s="33"/>
    </row>
    <row r="107" spans="2:12" s="1" customFormat="1" ht="6.95" customHeight="1" x14ac:dyDescent="0.3">
      <c r="B107" s="33"/>
      <c r="L107" s="33"/>
    </row>
    <row r="108" spans="2:12" s="1" customFormat="1" ht="12" customHeight="1" x14ac:dyDescent="0.3">
      <c r="B108" s="33"/>
      <c r="C108" s="28" t="s">
        <v>15</v>
      </c>
      <c r="L108" s="33"/>
    </row>
    <row r="109" spans="2:12" s="1" customFormat="1" ht="16.5" customHeight="1" x14ac:dyDescent="0.3">
      <c r="B109" s="33"/>
      <c r="E109" s="324" t="str">
        <f>E7</f>
        <v>Obnova ulice Tyršova, Dobrovice - I. etapa</v>
      </c>
      <c r="F109" s="325"/>
      <c r="G109" s="325"/>
      <c r="H109" s="325"/>
      <c r="L109" s="33"/>
    </row>
    <row r="110" spans="2:12" s="1" customFormat="1" ht="12" customHeight="1" x14ac:dyDescent="0.3">
      <c r="B110" s="33"/>
      <c r="C110" s="28" t="s">
        <v>152</v>
      </c>
      <c r="L110" s="33"/>
    </row>
    <row r="111" spans="2:12" s="1" customFormat="1" ht="16.5" customHeight="1" x14ac:dyDescent="0.3">
      <c r="B111" s="33"/>
      <c r="E111" s="308" t="str">
        <f>E9</f>
        <v>SO 801.I - Sadové úpravy I. etapa</v>
      </c>
      <c r="F111" s="326"/>
      <c r="G111" s="326"/>
      <c r="H111" s="326"/>
      <c r="L111" s="33"/>
    </row>
    <row r="112" spans="2:12" s="1" customFormat="1" ht="6.95" customHeight="1" x14ac:dyDescent="0.3">
      <c r="B112" s="33"/>
      <c r="L112" s="33"/>
    </row>
    <row r="113" spans="2:65" s="1" customFormat="1" ht="12" customHeight="1" x14ac:dyDescent="0.3">
      <c r="B113" s="33"/>
      <c r="C113" s="28" t="s">
        <v>21</v>
      </c>
      <c r="F113" s="26" t="str">
        <f>F12</f>
        <v>Dobrovice</v>
      </c>
      <c r="I113" s="28" t="s">
        <v>23</v>
      </c>
      <c r="J113" s="53">
        <f>IF(J12="","",J12)</f>
        <v>45678</v>
      </c>
      <c r="L113" s="33"/>
    </row>
    <row r="114" spans="2:65" s="1" customFormat="1" ht="6.95" customHeight="1" x14ac:dyDescent="0.3">
      <c r="B114" s="33"/>
      <c r="L114" s="33"/>
    </row>
    <row r="115" spans="2:65" s="1" customFormat="1" ht="25.7" customHeight="1" x14ac:dyDescent="0.3">
      <c r="B115" s="33"/>
      <c r="C115" s="28" t="s">
        <v>28</v>
      </c>
      <c r="F115" s="26" t="str">
        <f>E15</f>
        <v>Město Dobrovice, Palckého nám. 28, 294 41</v>
      </c>
      <c r="I115" s="28" t="s">
        <v>34</v>
      </c>
      <c r="J115" s="96" t="str">
        <f>E21</f>
        <v>Ing. arch. Martin Jirovský Ph.D., MBA</v>
      </c>
      <c r="L115" s="33"/>
    </row>
    <row r="116" spans="2:65" s="1" customFormat="1" ht="40.15" customHeight="1" x14ac:dyDescent="0.3">
      <c r="B116" s="33"/>
      <c r="C116" s="28" t="s">
        <v>33</v>
      </c>
      <c r="F116" s="26">
        <f>IF(E18="","",E18)</f>
        <v>0</v>
      </c>
      <c r="I116" s="28" t="s">
        <v>38</v>
      </c>
      <c r="J116" s="96" t="str">
        <f>E24</f>
        <v>ROAD M.A.A.T. s.r.o., Petra Stejskalová</v>
      </c>
      <c r="L116" s="33"/>
    </row>
    <row r="117" spans="2:65" s="1" customFormat="1" ht="10.35" customHeight="1" x14ac:dyDescent="0.3">
      <c r="B117" s="33"/>
      <c r="L117" s="33"/>
    </row>
    <row r="118" spans="2:65" s="10" customFormat="1" ht="29.25" customHeight="1" x14ac:dyDescent="0.3">
      <c r="B118" s="119"/>
      <c r="C118" s="120" t="s">
        <v>169</v>
      </c>
      <c r="D118" s="121" t="s">
        <v>66</v>
      </c>
      <c r="E118" s="121" t="s">
        <v>63</v>
      </c>
      <c r="F118" s="121" t="s">
        <v>170</v>
      </c>
      <c r="G118" s="121" t="s">
        <v>171</v>
      </c>
      <c r="H118" s="121" t="s">
        <v>172</v>
      </c>
      <c r="I118" s="121" t="s">
        <v>173</v>
      </c>
      <c r="J118" s="121" t="s">
        <v>157</v>
      </c>
      <c r="K118" s="122" t="s">
        <v>174</v>
      </c>
      <c r="L118" s="119"/>
      <c r="M118" s="60" t="s">
        <v>1</v>
      </c>
      <c r="N118" s="61" t="s">
        <v>46</v>
      </c>
      <c r="O118" s="61" t="s">
        <v>175</v>
      </c>
      <c r="P118" s="61" t="s">
        <v>176</v>
      </c>
      <c r="Q118" s="61" t="s">
        <v>177</v>
      </c>
      <c r="R118" s="61" t="s">
        <v>178</v>
      </c>
      <c r="S118" s="61" t="s">
        <v>179</v>
      </c>
      <c r="T118" s="62" t="s">
        <v>180</v>
      </c>
    </row>
    <row r="119" spans="2:65" s="1" customFormat="1" ht="22.9" customHeight="1" x14ac:dyDescent="0.25">
      <c r="B119" s="33"/>
      <c r="C119" s="65" t="s">
        <v>181</v>
      </c>
      <c r="J119" s="123">
        <f>BK119</f>
        <v>191316.19000000003</v>
      </c>
      <c r="L119" s="33"/>
      <c r="M119" s="63"/>
      <c r="N119" s="54"/>
      <c r="O119" s="54"/>
      <c r="P119" s="124">
        <f>P120</f>
        <v>327.08036799999996</v>
      </c>
      <c r="Q119" s="54"/>
      <c r="R119" s="124">
        <f>R120</f>
        <v>56.585743000000001</v>
      </c>
      <c r="S119" s="54"/>
      <c r="T119" s="125">
        <f>T120</f>
        <v>0</v>
      </c>
      <c r="AT119" s="18" t="s">
        <v>80</v>
      </c>
      <c r="AU119" s="18" t="s">
        <v>159</v>
      </c>
      <c r="BK119" s="126">
        <f>BK120</f>
        <v>191316.19000000003</v>
      </c>
    </row>
    <row r="120" spans="2:65" s="11" customFormat="1" ht="25.9" customHeight="1" x14ac:dyDescent="0.2">
      <c r="B120" s="127"/>
      <c r="D120" s="128" t="s">
        <v>80</v>
      </c>
      <c r="E120" s="129" t="s">
        <v>182</v>
      </c>
      <c r="F120" s="129" t="s">
        <v>183</v>
      </c>
      <c r="J120" s="130">
        <f>BK120</f>
        <v>191316.19000000003</v>
      </c>
      <c r="L120" s="127"/>
      <c r="M120" s="131"/>
      <c r="P120" s="132">
        <f>P121+P149</f>
        <v>327.08036799999996</v>
      </c>
      <c r="R120" s="132">
        <f>R121+R149</f>
        <v>56.585743000000001</v>
      </c>
      <c r="T120" s="133">
        <f>T121+T149</f>
        <v>0</v>
      </c>
      <c r="AR120" s="128" t="s">
        <v>88</v>
      </c>
      <c r="AT120" s="134" t="s">
        <v>80</v>
      </c>
      <c r="AU120" s="134" t="s">
        <v>81</v>
      </c>
      <c r="AY120" s="128" t="s">
        <v>184</v>
      </c>
      <c r="BK120" s="135">
        <f>BK121+BK149</f>
        <v>191316.19000000003</v>
      </c>
    </row>
    <row r="121" spans="2:65" s="11" customFormat="1" ht="22.9" customHeight="1" x14ac:dyDescent="0.2">
      <c r="B121" s="127"/>
      <c r="D121" s="128" t="s">
        <v>80</v>
      </c>
      <c r="E121" s="136" t="s">
        <v>88</v>
      </c>
      <c r="F121" s="136" t="s">
        <v>185</v>
      </c>
      <c r="J121" s="137">
        <f>BK121</f>
        <v>148107.69000000003</v>
      </c>
      <c r="L121" s="127"/>
      <c r="M121" s="131"/>
      <c r="P121" s="132">
        <f>SUM(P122:P148)</f>
        <v>127.33178799999999</v>
      </c>
      <c r="R121" s="132">
        <f>SUM(R122:R148)</f>
        <v>56.585743000000001</v>
      </c>
      <c r="T121" s="133">
        <f>SUM(T122:T148)</f>
        <v>0</v>
      </c>
      <c r="AR121" s="128" t="s">
        <v>88</v>
      </c>
      <c r="AT121" s="134" t="s">
        <v>80</v>
      </c>
      <c r="AU121" s="134" t="s">
        <v>88</v>
      </c>
      <c r="AY121" s="128" t="s">
        <v>184</v>
      </c>
      <c r="BK121" s="135">
        <f>SUM(BK122:BK148)</f>
        <v>148107.69000000003</v>
      </c>
    </row>
    <row r="122" spans="2:65" s="1" customFormat="1" ht="21.75" customHeight="1" x14ac:dyDescent="0.3">
      <c r="B122" s="33"/>
      <c r="C122" s="138" t="s">
        <v>88</v>
      </c>
      <c r="D122" s="138" t="s">
        <v>186</v>
      </c>
      <c r="E122" s="139" t="s">
        <v>232</v>
      </c>
      <c r="F122" s="140" t="s">
        <v>233</v>
      </c>
      <c r="G122" s="141" t="s">
        <v>217</v>
      </c>
      <c r="H122" s="142">
        <v>56.570999999999998</v>
      </c>
      <c r="I122" s="143">
        <v>103.82</v>
      </c>
      <c r="J122" s="144">
        <f>ROUND(I122*H122,2)</f>
        <v>5873.2</v>
      </c>
      <c r="K122" s="140" t="s">
        <v>190</v>
      </c>
      <c r="L122" s="33"/>
      <c r="M122" s="145" t="s">
        <v>1</v>
      </c>
      <c r="N122" s="146" t="s">
        <v>47</v>
      </c>
      <c r="O122" s="147">
        <v>8.6999999999999994E-2</v>
      </c>
      <c r="P122" s="147">
        <f>O122*H122</f>
        <v>4.9216769999999999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49" t="s">
        <v>191</v>
      </c>
      <c r="AT122" s="149" t="s">
        <v>186</v>
      </c>
      <c r="AU122" s="149" t="s">
        <v>20</v>
      </c>
      <c r="AY122" s="18" t="s">
        <v>184</v>
      </c>
      <c r="BE122" s="150">
        <f>IF(N122="základní",J122,0)</f>
        <v>5873.2</v>
      </c>
      <c r="BF122" s="150">
        <f>IF(N122="snížená",J122,0)</f>
        <v>0</v>
      </c>
      <c r="BG122" s="150">
        <f>IF(N122="zákl. přenesená",J122,0)</f>
        <v>0</v>
      </c>
      <c r="BH122" s="150">
        <f>IF(N122="sníž. přenesená",J122,0)</f>
        <v>0</v>
      </c>
      <c r="BI122" s="150">
        <f>IF(N122="nulová",J122,0)</f>
        <v>0</v>
      </c>
      <c r="BJ122" s="18" t="s">
        <v>88</v>
      </c>
      <c r="BK122" s="150">
        <f>ROUND(I122*H122,2)</f>
        <v>5873.2</v>
      </c>
      <c r="BL122" s="18" t="s">
        <v>191</v>
      </c>
      <c r="BM122" s="149" t="s">
        <v>1387</v>
      </c>
    </row>
    <row r="123" spans="2:65" s="1" customFormat="1" x14ac:dyDescent="0.3">
      <c r="B123" s="33"/>
      <c r="D123" s="151" t="s">
        <v>193</v>
      </c>
      <c r="F123" s="152" t="s">
        <v>235</v>
      </c>
      <c r="I123" s="153"/>
      <c r="L123" s="33"/>
      <c r="M123" s="154"/>
      <c r="T123" s="57"/>
      <c r="AT123" s="18" t="s">
        <v>193</v>
      </c>
      <c r="AU123" s="18" t="s">
        <v>20</v>
      </c>
    </row>
    <row r="124" spans="2:65" s="12" customFormat="1" ht="11.25" x14ac:dyDescent="0.3">
      <c r="B124" s="155"/>
      <c r="D124" s="156" t="s">
        <v>195</v>
      </c>
      <c r="E124" s="157" t="s">
        <v>1</v>
      </c>
      <c r="F124" s="158" t="s">
        <v>1388</v>
      </c>
      <c r="H124" s="159">
        <v>56.570999999999998</v>
      </c>
      <c r="I124" s="160"/>
      <c r="L124" s="155"/>
      <c r="M124" s="161"/>
      <c r="T124" s="162"/>
      <c r="AT124" s="157" t="s">
        <v>195</v>
      </c>
      <c r="AU124" s="157" t="s">
        <v>20</v>
      </c>
      <c r="AV124" s="12" t="s">
        <v>20</v>
      </c>
      <c r="AW124" s="12" t="s">
        <v>37</v>
      </c>
      <c r="AX124" s="12" t="s">
        <v>88</v>
      </c>
      <c r="AY124" s="157" t="s">
        <v>184</v>
      </c>
    </row>
    <row r="125" spans="2:65" s="1" customFormat="1" ht="16.5" customHeight="1" x14ac:dyDescent="0.3">
      <c r="B125" s="33"/>
      <c r="C125" s="138" t="s">
        <v>20</v>
      </c>
      <c r="D125" s="138" t="s">
        <v>186</v>
      </c>
      <c r="E125" s="139" t="s">
        <v>1389</v>
      </c>
      <c r="F125" s="140" t="s">
        <v>1390</v>
      </c>
      <c r="G125" s="141" t="s">
        <v>217</v>
      </c>
      <c r="H125" s="142">
        <v>56.570999999999998</v>
      </c>
      <c r="I125" s="143">
        <v>106.9</v>
      </c>
      <c r="J125" s="144">
        <f>ROUND(I125*H125,2)</f>
        <v>6047.44</v>
      </c>
      <c r="K125" s="140" t="s">
        <v>190</v>
      </c>
      <c r="L125" s="33"/>
      <c r="M125" s="145" t="s">
        <v>1</v>
      </c>
      <c r="N125" s="146" t="s">
        <v>47</v>
      </c>
      <c r="O125" s="147">
        <v>0.19700000000000001</v>
      </c>
      <c r="P125" s="147">
        <f>O125*H125</f>
        <v>11.144487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191</v>
      </c>
      <c r="AT125" s="149" t="s">
        <v>186</v>
      </c>
      <c r="AU125" s="149" t="s">
        <v>20</v>
      </c>
      <c r="AY125" s="18" t="s">
        <v>184</v>
      </c>
      <c r="BE125" s="150">
        <f>IF(N125="základní",J125,0)</f>
        <v>6047.44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8" t="s">
        <v>88</v>
      </c>
      <c r="BK125" s="150">
        <f>ROUND(I125*H125,2)</f>
        <v>6047.44</v>
      </c>
      <c r="BL125" s="18" t="s">
        <v>191</v>
      </c>
      <c r="BM125" s="149" t="s">
        <v>1391</v>
      </c>
    </row>
    <row r="126" spans="2:65" s="1" customFormat="1" x14ac:dyDescent="0.3">
      <c r="B126" s="33"/>
      <c r="D126" s="151" t="s">
        <v>193</v>
      </c>
      <c r="F126" s="152" t="s">
        <v>1392</v>
      </c>
      <c r="I126" s="153"/>
      <c r="L126" s="33"/>
      <c r="M126" s="154"/>
      <c r="T126" s="57"/>
      <c r="AT126" s="18" t="s">
        <v>193</v>
      </c>
      <c r="AU126" s="18" t="s">
        <v>20</v>
      </c>
    </row>
    <row r="127" spans="2:65" s="1" customFormat="1" ht="24.2" customHeight="1" x14ac:dyDescent="0.3">
      <c r="B127" s="33"/>
      <c r="C127" s="138" t="s">
        <v>202</v>
      </c>
      <c r="D127" s="138" t="s">
        <v>186</v>
      </c>
      <c r="E127" s="139" t="s">
        <v>1393</v>
      </c>
      <c r="F127" s="140" t="s">
        <v>1394</v>
      </c>
      <c r="G127" s="141" t="s">
        <v>189</v>
      </c>
      <c r="H127" s="142">
        <v>337.14</v>
      </c>
      <c r="I127" s="143">
        <v>76.36</v>
      </c>
      <c r="J127" s="144">
        <f>ROUND(I127*H127,2)</f>
        <v>25744.01</v>
      </c>
      <c r="K127" s="140" t="s">
        <v>190</v>
      </c>
      <c r="L127" s="33"/>
      <c r="M127" s="145" t="s">
        <v>1</v>
      </c>
      <c r="N127" s="146" t="s">
        <v>47</v>
      </c>
      <c r="O127" s="147">
        <v>0.126</v>
      </c>
      <c r="P127" s="147">
        <f>O127*H127</f>
        <v>42.479639999999996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191</v>
      </c>
      <c r="AT127" s="149" t="s">
        <v>186</v>
      </c>
      <c r="AU127" s="149" t="s">
        <v>20</v>
      </c>
      <c r="AY127" s="18" t="s">
        <v>184</v>
      </c>
      <c r="BE127" s="150">
        <f>IF(N127="základní",J127,0)</f>
        <v>25744.01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8" t="s">
        <v>88</v>
      </c>
      <c r="BK127" s="150">
        <f>ROUND(I127*H127,2)</f>
        <v>25744.01</v>
      </c>
      <c r="BL127" s="18" t="s">
        <v>191</v>
      </c>
      <c r="BM127" s="149" t="s">
        <v>1395</v>
      </c>
    </row>
    <row r="128" spans="2:65" s="1" customFormat="1" x14ac:dyDescent="0.3">
      <c r="B128" s="33"/>
      <c r="D128" s="151" t="s">
        <v>193</v>
      </c>
      <c r="F128" s="152" t="s">
        <v>1396</v>
      </c>
      <c r="I128" s="153"/>
      <c r="L128" s="33"/>
      <c r="M128" s="154"/>
      <c r="T128" s="57"/>
      <c r="AT128" s="18" t="s">
        <v>193</v>
      </c>
      <c r="AU128" s="18" t="s">
        <v>20</v>
      </c>
    </row>
    <row r="129" spans="2:65" s="1" customFormat="1" ht="21.75" customHeight="1" x14ac:dyDescent="0.3">
      <c r="B129" s="33"/>
      <c r="C129" s="138" t="s">
        <v>191</v>
      </c>
      <c r="D129" s="138" t="s">
        <v>186</v>
      </c>
      <c r="E129" s="139" t="s">
        <v>1397</v>
      </c>
      <c r="F129" s="140" t="s">
        <v>1398</v>
      </c>
      <c r="G129" s="141" t="s">
        <v>189</v>
      </c>
      <c r="H129" s="142">
        <v>337.14</v>
      </c>
      <c r="I129" s="143">
        <v>61.09</v>
      </c>
      <c r="J129" s="144">
        <f>ROUND(I129*H129,2)</f>
        <v>20595.88</v>
      </c>
      <c r="K129" s="140" t="s">
        <v>190</v>
      </c>
      <c r="L129" s="33"/>
      <c r="M129" s="145" t="s">
        <v>1</v>
      </c>
      <c r="N129" s="146" t="s">
        <v>47</v>
      </c>
      <c r="O129" s="147">
        <v>4.3999999999999997E-2</v>
      </c>
      <c r="P129" s="147">
        <f>O129*H129</f>
        <v>14.834159999999999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49" t="s">
        <v>191</v>
      </c>
      <c r="AT129" s="149" t="s">
        <v>186</v>
      </c>
      <c r="AU129" s="149" t="s">
        <v>20</v>
      </c>
      <c r="AY129" s="18" t="s">
        <v>184</v>
      </c>
      <c r="BE129" s="150">
        <f>IF(N129="základní",J129,0)</f>
        <v>20595.88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8" t="s">
        <v>88</v>
      </c>
      <c r="BK129" s="150">
        <f>ROUND(I129*H129,2)</f>
        <v>20595.88</v>
      </c>
      <c r="BL129" s="18" t="s">
        <v>191</v>
      </c>
      <c r="BM129" s="149" t="s">
        <v>1399</v>
      </c>
    </row>
    <row r="130" spans="2:65" s="1" customFormat="1" x14ac:dyDescent="0.3">
      <c r="B130" s="33"/>
      <c r="D130" s="151" t="s">
        <v>193</v>
      </c>
      <c r="F130" s="152" t="s">
        <v>1400</v>
      </c>
      <c r="I130" s="153"/>
      <c r="L130" s="33"/>
      <c r="M130" s="154"/>
      <c r="T130" s="57"/>
      <c r="AT130" s="18" t="s">
        <v>193</v>
      </c>
      <c r="AU130" s="18" t="s">
        <v>20</v>
      </c>
    </row>
    <row r="131" spans="2:65" s="1" customFormat="1" ht="16.5" customHeight="1" x14ac:dyDescent="0.3">
      <c r="B131" s="33"/>
      <c r="C131" s="138" t="s">
        <v>214</v>
      </c>
      <c r="D131" s="138" t="s">
        <v>186</v>
      </c>
      <c r="E131" s="139" t="s">
        <v>1401</v>
      </c>
      <c r="F131" s="140" t="s">
        <v>1402</v>
      </c>
      <c r="G131" s="141" t="s">
        <v>189</v>
      </c>
      <c r="H131" s="142">
        <v>337.14</v>
      </c>
      <c r="I131" s="143">
        <v>45.82</v>
      </c>
      <c r="J131" s="144">
        <f>ROUND(I131*H131,2)</f>
        <v>15447.75</v>
      </c>
      <c r="K131" s="140" t="s">
        <v>190</v>
      </c>
      <c r="L131" s="33"/>
      <c r="M131" s="145" t="s">
        <v>1</v>
      </c>
      <c r="N131" s="146" t="s">
        <v>47</v>
      </c>
      <c r="O131" s="147">
        <v>5.8000000000000003E-2</v>
      </c>
      <c r="P131" s="147">
        <f>O131*H131</f>
        <v>19.554120000000001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AR131" s="149" t="s">
        <v>191</v>
      </c>
      <c r="AT131" s="149" t="s">
        <v>186</v>
      </c>
      <c r="AU131" s="149" t="s">
        <v>20</v>
      </c>
      <c r="AY131" s="18" t="s">
        <v>184</v>
      </c>
      <c r="BE131" s="150">
        <f>IF(N131="základní",J131,0)</f>
        <v>15447.75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8" t="s">
        <v>88</v>
      </c>
      <c r="BK131" s="150">
        <f>ROUND(I131*H131,2)</f>
        <v>15447.75</v>
      </c>
      <c r="BL131" s="18" t="s">
        <v>191</v>
      </c>
      <c r="BM131" s="149" t="s">
        <v>1403</v>
      </c>
    </row>
    <row r="132" spans="2:65" s="1" customFormat="1" x14ac:dyDescent="0.3">
      <c r="B132" s="33"/>
      <c r="D132" s="151" t="s">
        <v>193</v>
      </c>
      <c r="F132" s="152" t="s">
        <v>1404</v>
      </c>
      <c r="I132" s="153"/>
      <c r="L132" s="33"/>
      <c r="M132" s="154"/>
      <c r="T132" s="57"/>
      <c r="AT132" s="18" t="s">
        <v>193</v>
      </c>
      <c r="AU132" s="18" t="s">
        <v>20</v>
      </c>
    </row>
    <row r="133" spans="2:65" s="12" customFormat="1" ht="11.25" x14ac:dyDescent="0.3">
      <c r="B133" s="155"/>
      <c r="D133" s="156" t="s">
        <v>195</v>
      </c>
      <c r="E133" s="157" t="s">
        <v>1</v>
      </c>
      <c r="F133" s="158" t="s">
        <v>1405</v>
      </c>
      <c r="H133" s="159">
        <v>337.14</v>
      </c>
      <c r="I133" s="160"/>
      <c r="L133" s="155"/>
      <c r="M133" s="161"/>
      <c r="T133" s="162"/>
      <c r="AT133" s="157" t="s">
        <v>195</v>
      </c>
      <c r="AU133" s="157" t="s">
        <v>20</v>
      </c>
      <c r="AV133" s="12" t="s">
        <v>20</v>
      </c>
      <c r="AW133" s="12" t="s">
        <v>37</v>
      </c>
      <c r="AX133" s="12" t="s">
        <v>88</v>
      </c>
      <c r="AY133" s="157" t="s">
        <v>184</v>
      </c>
    </row>
    <row r="134" spans="2:65" s="1" customFormat="1" ht="16.5" customHeight="1" x14ac:dyDescent="0.3">
      <c r="B134" s="33"/>
      <c r="C134" s="172" t="s">
        <v>221</v>
      </c>
      <c r="D134" s="172" t="s">
        <v>271</v>
      </c>
      <c r="E134" s="173" t="s">
        <v>1406</v>
      </c>
      <c r="F134" s="174" t="s">
        <v>1407</v>
      </c>
      <c r="G134" s="175" t="s">
        <v>446</v>
      </c>
      <c r="H134" s="176">
        <v>6.7430000000000003</v>
      </c>
      <c r="I134" s="177">
        <v>213.8</v>
      </c>
      <c r="J134" s="178">
        <f>ROUND(I134*H134,2)</f>
        <v>1441.65</v>
      </c>
      <c r="K134" s="174" t="s">
        <v>1</v>
      </c>
      <c r="L134" s="179"/>
      <c r="M134" s="180" t="s">
        <v>1</v>
      </c>
      <c r="N134" s="181" t="s">
        <v>47</v>
      </c>
      <c r="O134" s="147">
        <v>0</v>
      </c>
      <c r="P134" s="147">
        <f>O134*H134</f>
        <v>0</v>
      </c>
      <c r="Q134" s="147">
        <v>1E-3</v>
      </c>
      <c r="R134" s="147">
        <f>Q134*H134</f>
        <v>6.7430000000000007E-3</v>
      </c>
      <c r="S134" s="147">
        <v>0</v>
      </c>
      <c r="T134" s="148">
        <f>S134*H134</f>
        <v>0</v>
      </c>
      <c r="AR134" s="149" t="s">
        <v>239</v>
      </c>
      <c r="AT134" s="149" t="s">
        <v>271</v>
      </c>
      <c r="AU134" s="149" t="s">
        <v>20</v>
      </c>
      <c r="AY134" s="18" t="s">
        <v>184</v>
      </c>
      <c r="BE134" s="150">
        <f>IF(N134="základní",J134,0)</f>
        <v>1441.65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8" t="s">
        <v>88</v>
      </c>
      <c r="BK134" s="150">
        <f>ROUND(I134*H134,2)</f>
        <v>1441.65</v>
      </c>
      <c r="BL134" s="18" t="s">
        <v>191</v>
      </c>
      <c r="BM134" s="149" t="s">
        <v>1408</v>
      </c>
    </row>
    <row r="135" spans="2:65" s="12" customFormat="1" ht="11.25" x14ac:dyDescent="0.3">
      <c r="B135" s="155"/>
      <c r="D135" s="156" t="s">
        <v>195</v>
      </c>
      <c r="E135" s="157" t="s">
        <v>1</v>
      </c>
      <c r="F135" s="158" t="s">
        <v>1409</v>
      </c>
      <c r="H135" s="159">
        <v>6.7430000000000003</v>
      </c>
      <c r="I135" s="160"/>
      <c r="L135" s="155"/>
      <c r="M135" s="161"/>
      <c r="T135" s="162"/>
      <c r="AT135" s="157" t="s">
        <v>195</v>
      </c>
      <c r="AU135" s="157" t="s">
        <v>20</v>
      </c>
      <c r="AV135" s="12" t="s">
        <v>20</v>
      </c>
      <c r="AW135" s="12" t="s">
        <v>37</v>
      </c>
      <c r="AX135" s="12" t="s">
        <v>88</v>
      </c>
      <c r="AY135" s="157" t="s">
        <v>184</v>
      </c>
    </row>
    <row r="136" spans="2:65" s="1" customFormat="1" ht="21.75" customHeight="1" x14ac:dyDescent="0.3">
      <c r="B136" s="33"/>
      <c r="C136" s="138" t="s">
        <v>231</v>
      </c>
      <c r="D136" s="138" t="s">
        <v>186</v>
      </c>
      <c r="E136" s="139" t="s">
        <v>1410</v>
      </c>
      <c r="F136" s="140" t="s">
        <v>1411</v>
      </c>
      <c r="G136" s="141" t="s">
        <v>189</v>
      </c>
      <c r="H136" s="142">
        <v>337.14</v>
      </c>
      <c r="I136" s="143">
        <v>38.18</v>
      </c>
      <c r="J136" s="144">
        <f>ROUND(I136*H136,2)</f>
        <v>12872.01</v>
      </c>
      <c r="K136" s="140" t="s">
        <v>190</v>
      </c>
      <c r="L136" s="33"/>
      <c r="M136" s="145" t="s">
        <v>1</v>
      </c>
      <c r="N136" s="146" t="s">
        <v>47</v>
      </c>
      <c r="O136" s="147">
        <v>6.7000000000000004E-2</v>
      </c>
      <c r="P136" s="147">
        <f>O136*H136</f>
        <v>22.588380000000001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49" t="s">
        <v>191</v>
      </c>
      <c r="AT136" s="149" t="s">
        <v>186</v>
      </c>
      <c r="AU136" s="149" t="s">
        <v>20</v>
      </c>
      <c r="AY136" s="18" t="s">
        <v>184</v>
      </c>
      <c r="BE136" s="150">
        <f>IF(N136="základní",J136,0)</f>
        <v>12872.01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8" t="s">
        <v>88</v>
      </c>
      <c r="BK136" s="150">
        <f>ROUND(I136*H136,2)</f>
        <v>12872.01</v>
      </c>
      <c r="BL136" s="18" t="s">
        <v>191</v>
      </c>
      <c r="BM136" s="149" t="s">
        <v>1412</v>
      </c>
    </row>
    <row r="137" spans="2:65" s="1" customFormat="1" x14ac:dyDescent="0.3">
      <c r="B137" s="33"/>
      <c r="D137" s="151" t="s">
        <v>193</v>
      </c>
      <c r="F137" s="152" t="s">
        <v>1413</v>
      </c>
      <c r="I137" s="153"/>
      <c r="L137" s="33"/>
      <c r="M137" s="154"/>
      <c r="T137" s="57"/>
      <c r="AT137" s="18" t="s">
        <v>193</v>
      </c>
      <c r="AU137" s="18" t="s">
        <v>20</v>
      </c>
    </row>
    <row r="138" spans="2:65" s="1" customFormat="1" ht="16.5" customHeight="1" x14ac:dyDescent="0.3">
      <c r="B138" s="33"/>
      <c r="C138" s="172" t="s">
        <v>239</v>
      </c>
      <c r="D138" s="172" t="s">
        <v>271</v>
      </c>
      <c r="E138" s="173" t="s">
        <v>1414</v>
      </c>
      <c r="F138" s="174" t="s">
        <v>1415</v>
      </c>
      <c r="G138" s="175" t="s">
        <v>248</v>
      </c>
      <c r="H138" s="176">
        <v>56.570999999999998</v>
      </c>
      <c r="I138" s="177">
        <v>848.92</v>
      </c>
      <c r="J138" s="178">
        <f>ROUND(I138*H138,2)</f>
        <v>48024.25</v>
      </c>
      <c r="K138" s="174" t="s">
        <v>190</v>
      </c>
      <c r="L138" s="179"/>
      <c r="M138" s="180" t="s">
        <v>1</v>
      </c>
      <c r="N138" s="181" t="s">
        <v>47</v>
      </c>
      <c r="O138" s="147">
        <v>0</v>
      </c>
      <c r="P138" s="147">
        <f>O138*H138</f>
        <v>0</v>
      </c>
      <c r="Q138" s="147">
        <v>1</v>
      </c>
      <c r="R138" s="147">
        <f>Q138*H138</f>
        <v>56.570999999999998</v>
      </c>
      <c r="S138" s="147">
        <v>0</v>
      </c>
      <c r="T138" s="148">
        <f>S138*H138</f>
        <v>0</v>
      </c>
      <c r="AR138" s="149" t="s">
        <v>239</v>
      </c>
      <c r="AT138" s="149" t="s">
        <v>271</v>
      </c>
      <c r="AU138" s="149" t="s">
        <v>20</v>
      </c>
      <c r="AY138" s="18" t="s">
        <v>184</v>
      </c>
      <c r="BE138" s="150">
        <f>IF(N138="základní",J138,0)</f>
        <v>48024.25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8" t="s">
        <v>88</v>
      </c>
      <c r="BK138" s="150">
        <f>ROUND(I138*H138,2)</f>
        <v>48024.25</v>
      </c>
      <c r="BL138" s="18" t="s">
        <v>191</v>
      </c>
      <c r="BM138" s="149" t="s">
        <v>1416</v>
      </c>
    </row>
    <row r="139" spans="2:65" s="12" customFormat="1" ht="11.25" x14ac:dyDescent="0.3">
      <c r="B139" s="155"/>
      <c r="D139" s="156" t="s">
        <v>195</v>
      </c>
      <c r="E139" s="157" t="s">
        <v>1</v>
      </c>
      <c r="F139" s="158" t="s">
        <v>1388</v>
      </c>
      <c r="H139" s="159">
        <v>56.570999999999998</v>
      </c>
      <c r="I139" s="160"/>
      <c r="L139" s="155"/>
      <c r="M139" s="161"/>
      <c r="T139" s="162"/>
      <c r="AT139" s="157" t="s">
        <v>195</v>
      </c>
      <c r="AU139" s="157" t="s">
        <v>20</v>
      </c>
      <c r="AV139" s="12" t="s">
        <v>20</v>
      </c>
      <c r="AW139" s="12" t="s">
        <v>37</v>
      </c>
      <c r="AX139" s="12" t="s">
        <v>88</v>
      </c>
      <c r="AY139" s="157" t="s">
        <v>184</v>
      </c>
    </row>
    <row r="140" spans="2:65" s="1" customFormat="1" ht="16.5" customHeight="1" x14ac:dyDescent="0.3">
      <c r="B140" s="33"/>
      <c r="C140" s="138" t="s">
        <v>245</v>
      </c>
      <c r="D140" s="138" t="s">
        <v>186</v>
      </c>
      <c r="E140" s="139" t="s">
        <v>1417</v>
      </c>
      <c r="F140" s="140" t="s">
        <v>1418</v>
      </c>
      <c r="G140" s="141" t="s">
        <v>189</v>
      </c>
      <c r="H140" s="142">
        <v>337.14</v>
      </c>
      <c r="I140" s="143">
        <v>7.64</v>
      </c>
      <c r="J140" s="144">
        <f>ROUND(I140*H140,2)</f>
        <v>2575.75</v>
      </c>
      <c r="K140" s="140" t="s">
        <v>1</v>
      </c>
      <c r="L140" s="33"/>
      <c r="M140" s="145" t="s">
        <v>1</v>
      </c>
      <c r="N140" s="146" t="s">
        <v>47</v>
      </c>
      <c r="O140" s="147">
        <v>1.4999999999999999E-2</v>
      </c>
      <c r="P140" s="147">
        <f>O140*H140</f>
        <v>5.0570999999999993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AR140" s="149" t="s">
        <v>191</v>
      </c>
      <c r="AT140" s="149" t="s">
        <v>186</v>
      </c>
      <c r="AU140" s="149" t="s">
        <v>20</v>
      </c>
      <c r="AY140" s="18" t="s">
        <v>184</v>
      </c>
      <c r="BE140" s="150">
        <f>IF(N140="základní",J140,0)</f>
        <v>2575.75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8" t="s">
        <v>88</v>
      </c>
      <c r="BK140" s="150">
        <f>ROUND(I140*H140,2)</f>
        <v>2575.75</v>
      </c>
      <c r="BL140" s="18" t="s">
        <v>191</v>
      </c>
      <c r="BM140" s="149" t="s">
        <v>1419</v>
      </c>
    </row>
    <row r="141" spans="2:65" s="1" customFormat="1" ht="21.75" customHeight="1" x14ac:dyDescent="0.3">
      <c r="B141" s="33"/>
      <c r="C141" s="138" t="s">
        <v>252</v>
      </c>
      <c r="D141" s="138" t="s">
        <v>186</v>
      </c>
      <c r="E141" s="139" t="s">
        <v>1420</v>
      </c>
      <c r="F141" s="140" t="s">
        <v>1421</v>
      </c>
      <c r="G141" s="141" t="s">
        <v>189</v>
      </c>
      <c r="H141" s="142">
        <v>337.14</v>
      </c>
      <c r="I141" s="143">
        <v>7.64</v>
      </c>
      <c r="J141" s="144">
        <f>ROUND(I141*H141,2)</f>
        <v>2575.75</v>
      </c>
      <c r="K141" s="140" t="s">
        <v>1</v>
      </c>
      <c r="L141" s="33"/>
      <c r="M141" s="145" t="s">
        <v>1</v>
      </c>
      <c r="N141" s="146" t="s">
        <v>47</v>
      </c>
      <c r="O141" s="147">
        <v>5.0000000000000001E-3</v>
      </c>
      <c r="P141" s="147">
        <f>O141*H141</f>
        <v>1.6857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191</v>
      </c>
      <c r="AT141" s="149" t="s">
        <v>186</v>
      </c>
      <c r="AU141" s="149" t="s">
        <v>20</v>
      </c>
      <c r="AY141" s="18" t="s">
        <v>184</v>
      </c>
      <c r="BE141" s="150">
        <f>IF(N141="základní",J141,0)</f>
        <v>2575.75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8" t="s">
        <v>88</v>
      </c>
      <c r="BK141" s="150">
        <f>ROUND(I141*H141,2)</f>
        <v>2575.75</v>
      </c>
      <c r="BL141" s="18" t="s">
        <v>191</v>
      </c>
      <c r="BM141" s="149" t="s">
        <v>1422</v>
      </c>
    </row>
    <row r="142" spans="2:65" s="1" customFormat="1" ht="16.5" customHeight="1" x14ac:dyDescent="0.3">
      <c r="B142" s="33"/>
      <c r="C142" s="138" t="s">
        <v>257</v>
      </c>
      <c r="D142" s="138" t="s">
        <v>186</v>
      </c>
      <c r="E142" s="139" t="s">
        <v>1423</v>
      </c>
      <c r="F142" s="140" t="s">
        <v>1424</v>
      </c>
      <c r="G142" s="141" t="s">
        <v>189</v>
      </c>
      <c r="H142" s="142">
        <v>337.14</v>
      </c>
      <c r="I142" s="143">
        <v>9.16</v>
      </c>
      <c r="J142" s="144">
        <f>ROUND(I142*H142,2)</f>
        <v>3088.2</v>
      </c>
      <c r="K142" s="140" t="s">
        <v>190</v>
      </c>
      <c r="L142" s="33"/>
      <c r="M142" s="145" t="s">
        <v>1</v>
      </c>
      <c r="N142" s="146" t="s">
        <v>47</v>
      </c>
      <c r="O142" s="147">
        <v>0.01</v>
      </c>
      <c r="P142" s="147">
        <f>O142*H142</f>
        <v>3.3714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AR142" s="149" t="s">
        <v>191</v>
      </c>
      <c r="AT142" s="149" t="s">
        <v>186</v>
      </c>
      <c r="AU142" s="149" t="s">
        <v>20</v>
      </c>
      <c r="AY142" s="18" t="s">
        <v>184</v>
      </c>
      <c r="BE142" s="150">
        <f>IF(N142="základní",J142,0)</f>
        <v>3088.2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8" t="s">
        <v>88</v>
      </c>
      <c r="BK142" s="150">
        <f>ROUND(I142*H142,2)</f>
        <v>3088.2</v>
      </c>
      <c r="BL142" s="18" t="s">
        <v>191</v>
      </c>
      <c r="BM142" s="149" t="s">
        <v>1425</v>
      </c>
    </row>
    <row r="143" spans="2:65" s="1" customFormat="1" x14ac:dyDescent="0.3">
      <c r="B143" s="33"/>
      <c r="D143" s="151" t="s">
        <v>193</v>
      </c>
      <c r="F143" s="152" t="s">
        <v>1426</v>
      </c>
      <c r="I143" s="153"/>
      <c r="L143" s="33"/>
      <c r="M143" s="154"/>
      <c r="T143" s="57"/>
      <c r="AT143" s="18" t="s">
        <v>193</v>
      </c>
      <c r="AU143" s="18" t="s">
        <v>20</v>
      </c>
    </row>
    <row r="144" spans="2:65" s="1" customFormat="1" ht="16.5" customHeight="1" x14ac:dyDescent="0.3">
      <c r="B144" s="33"/>
      <c r="C144" s="138" t="s">
        <v>264</v>
      </c>
      <c r="D144" s="138" t="s">
        <v>186</v>
      </c>
      <c r="E144" s="139" t="s">
        <v>1427</v>
      </c>
      <c r="F144" s="140" t="s">
        <v>1428</v>
      </c>
      <c r="G144" s="141" t="s">
        <v>248</v>
      </c>
      <c r="H144" s="142">
        <v>8.0000000000000002E-3</v>
      </c>
      <c r="I144" s="143">
        <v>15255.09</v>
      </c>
      <c r="J144" s="144">
        <f>ROUND(I144*H144,2)</f>
        <v>122.04</v>
      </c>
      <c r="K144" s="140" t="s">
        <v>1</v>
      </c>
      <c r="L144" s="33"/>
      <c r="M144" s="145" t="s">
        <v>1</v>
      </c>
      <c r="N144" s="146" t="s">
        <v>47</v>
      </c>
      <c r="O144" s="147">
        <v>21.428999999999998</v>
      </c>
      <c r="P144" s="147">
        <f>O144*H144</f>
        <v>0.171432</v>
      </c>
      <c r="Q144" s="147">
        <v>0</v>
      </c>
      <c r="R144" s="147">
        <f>Q144*H144</f>
        <v>0</v>
      </c>
      <c r="S144" s="147">
        <v>0</v>
      </c>
      <c r="T144" s="148">
        <f>S144*H144</f>
        <v>0</v>
      </c>
      <c r="AR144" s="149" t="s">
        <v>191</v>
      </c>
      <c r="AT144" s="149" t="s">
        <v>186</v>
      </c>
      <c r="AU144" s="149" t="s">
        <v>20</v>
      </c>
      <c r="AY144" s="18" t="s">
        <v>184</v>
      </c>
      <c r="BE144" s="150">
        <f>IF(N144="základní",J144,0)</f>
        <v>122.04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8" t="s">
        <v>88</v>
      </c>
      <c r="BK144" s="150">
        <f>ROUND(I144*H144,2)</f>
        <v>122.04</v>
      </c>
      <c r="BL144" s="18" t="s">
        <v>191</v>
      </c>
      <c r="BM144" s="149" t="s">
        <v>1429</v>
      </c>
    </row>
    <row r="145" spans="2:65" s="12" customFormat="1" ht="11.25" x14ac:dyDescent="0.3">
      <c r="B145" s="155"/>
      <c r="D145" s="156" t="s">
        <v>195</v>
      </c>
      <c r="E145" s="157" t="s">
        <v>1</v>
      </c>
      <c r="F145" s="158" t="s">
        <v>1430</v>
      </c>
      <c r="H145" s="159">
        <v>8.0000000000000002E-3</v>
      </c>
      <c r="I145" s="160"/>
      <c r="L145" s="155"/>
      <c r="M145" s="161"/>
      <c r="T145" s="162"/>
      <c r="AT145" s="157" t="s">
        <v>195</v>
      </c>
      <c r="AU145" s="157" t="s">
        <v>20</v>
      </c>
      <c r="AV145" s="12" t="s">
        <v>20</v>
      </c>
      <c r="AW145" s="12" t="s">
        <v>37</v>
      </c>
      <c r="AX145" s="12" t="s">
        <v>88</v>
      </c>
      <c r="AY145" s="157" t="s">
        <v>184</v>
      </c>
    </row>
    <row r="146" spans="2:65" s="1" customFormat="1" ht="16.5" customHeight="1" x14ac:dyDescent="0.3">
      <c r="B146" s="33"/>
      <c r="C146" s="172" t="s">
        <v>270</v>
      </c>
      <c r="D146" s="172" t="s">
        <v>271</v>
      </c>
      <c r="E146" s="173" t="s">
        <v>1431</v>
      </c>
      <c r="F146" s="174" t="s">
        <v>1432</v>
      </c>
      <c r="G146" s="175" t="s">
        <v>446</v>
      </c>
      <c r="H146" s="176">
        <v>8</v>
      </c>
      <c r="I146" s="177">
        <v>76.36</v>
      </c>
      <c r="J146" s="178">
        <f>ROUND(I146*H146,2)</f>
        <v>610.88</v>
      </c>
      <c r="K146" s="174" t="s">
        <v>1</v>
      </c>
      <c r="L146" s="179"/>
      <c r="M146" s="180" t="s">
        <v>1</v>
      </c>
      <c r="N146" s="181" t="s">
        <v>47</v>
      </c>
      <c r="O146" s="147">
        <v>0</v>
      </c>
      <c r="P146" s="147">
        <f>O146*H146</f>
        <v>0</v>
      </c>
      <c r="Q146" s="147">
        <v>1E-3</v>
      </c>
      <c r="R146" s="147">
        <f>Q146*H146</f>
        <v>8.0000000000000002E-3</v>
      </c>
      <c r="S146" s="147">
        <v>0</v>
      </c>
      <c r="T146" s="148">
        <f>S146*H146</f>
        <v>0</v>
      </c>
      <c r="AR146" s="149" t="s">
        <v>239</v>
      </c>
      <c r="AT146" s="149" t="s">
        <v>271</v>
      </c>
      <c r="AU146" s="149" t="s">
        <v>20</v>
      </c>
      <c r="AY146" s="18" t="s">
        <v>184</v>
      </c>
      <c r="BE146" s="150">
        <f>IF(N146="základní",J146,0)</f>
        <v>610.88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8" t="s">
        <v>88</v>
      </c>
      <c r="BK146" s="150">
        <f>ROUND(I146*H146,2)</f>
        <v>610.88</v>
      </c>
      <c r="BL146" s="18" t="s">
        <v>191</v>
      </c>
      <c r="BM146" s="149" t="s">
        <v>1433</v>
      </c>
    </row>
    <row r="147" spans="2:65" s="1" customFormat="1" ht="16.5" customHeight="1" x14ac:dyDescent="0.3">
      <c r="B147" s="33"/>
      <c r="C147" s="138" t="s">
        <v>276</v>
      </c>
      <c r="D147" s="138" t="s">
        <v>186</v>
      </c>
      <c r="E147" s="139" t="s">
        <v>1434</v>
      </c>
      <c r="F147" s="140" t="s">
        <v>1435</v>
      </c>
      <c r="G147" s="141" t="s">
        <v>217</v>
      </c>
      <c r="H147" s="142">
        <v>3.371</v>
      </c>
      <c r="I147" s="143">
        <v>916.31</v>
      </c>
      <c r="J147" s="144">
        <f>ROUND(I147*H147,2)</f>
        <v>3088.88</v>
      </c>
      <c r="K147" s="140" t="s">
        <v>1</v>
      </c>
      <c r="L147" s="33"/>
      <c r="M147" s="145" t="s">
        <v>1</v>
      </c>
      <c r="N147" s="146" t="s">
        <v>47</v>
      </c>
      <c r="O147" s="147">
        <v>0.45200000000000001</v>
      </c>
      <c r="P147" s="147">
        <f>O147*H147</f>
        <v>1.523692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191</v>
      </c>
      <c r="AT147" s="149" t="s">
        <v>186</v>
      </c>
      <c r="AU147" s="149" t="s">
        <v>20</v>
      </c>
      <c r="AY147" s="18" t="s">
        <v>184</v>
      </c>
      <c r="BE147" s="150">
        <f>IF(N147="základní",J147,0)</f>
        <v>3088.88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8" t="s">
        <v>88</v>
      </c>
      <c r="BK147" s="150">
        <f>ROUND(I147*H147,2)</f>
        <v>3088.88</v>
      </c>
      <c r="BL147" s="18" t="s">
        <v>191</v>
      </c>
      <c r="BM147" s="149" t="s">
        <v>1436</v>
      </c>
    </row>
    <row r="148" spans="2:65" s="12" customFormat="1" ht="11.25" x14ac:dyDescent="0.3">
      <c r="B148" s="155"/>
      <c r="D148" s="156" t="s">
        <v>195</v>
      </c>
      <c r="E148" s="157" t="s">
        <v>1</v>
      </c>
      <c r="F148" s="158" t="s">
        <v>1437</v>
      </c>
      <c r="H148" s="159">
        <v>3.371</v>
      </c>
      <c r="I148" s="160"/>
      <c r="L148" s="155"/>
      <c r="M148" s="161"/>
      <c r="T148" s="162"/>
      <c r="AT148" s="157" t="s">
        <v>195</v>
      </c>
      <c r="AU148" s="157" t="s">
        <v>20</v>
      </c>
      <c r="AV148" s="12" t="s">
        <v>20</v>
      </c>
      <c r="AW148" s="12" t="s">
        <v>37</v>
      </c>
      <c r="AX148" s="12" t="s">
        <v>88</v>
      </c>
      <c r="AY148" s="157" t="s">
        <v>184</v>
      </c>
    </row>
    <row r="149" spans="2:65" s="11" customFormat="1" ht="22.9" customHeight="1" x14ac:dyDescent="0.2">
      <c r="B149" s="127"/>
      <c r="D149" s="128" t="s">
        <v>80</v>
      </c>
      <c r="E149" s="136" t="s">
        <v>374</v>
      </c>
      <c r="F149" s="136" t="s">
        <v>375</v>
      </c>
      <c r="I149" s="171"/>
      <c r="J149" s="137">
        <f>BK149</f>
        <v>43208.5</v>
      </c>
      <c r="L149" s="127"/>
      <c r="M149" s="131"/>
      <c r="P149" s="132">
        <f>P150</f>
        <v>199.74857999999998</v>
      </c>
      <c r="R149" s="132">
        <f>R150</f>
        <v>0</v>
      </c>
      <c r="T149" s="133">
        <f>T150</f>
        <v>0</v>
      </c>
      <c r="AR149" s="128" t="s">
        <v>88</v>
      </c>
      <c r="AT149" s="134" t="s">
        <v>80</v>
      </c>
      <c r="AU149" s="134" t="s">
        <v>88</v>
      </c>
      <c r="AY149" s="128" t="s">
        <v>184</v>
      </c>
      <c r="BK149" s="135">
        <f>BK150</f>
        <v>43208.5</v>
      </c>
    </row>
    <row r="150" spans="2:65" s="1" customFormat="1" ht="16.5" customHeight="1" x14ac:dyDescent="0.3">
      <c r="B150" s="33"/>
      <c r="C150" s="138" t="s">
        <v>7</v>
      </c>
      <c r="D150" s="138" t="s">
        <v>186</v>
      </c>
      <c r="E150" s="139" t="s">
        <v>1438</v>
      </c>
      <c r="F150" s="140" t="s">
        <v>1439</v>
      </c>
      <c r="G150" s="141" t="s">
        <v>248</v>
      </c>
      <c r="H150" s="142">
        <v>56.585999999999999</v>
      </c>
      <c r="I150" s="143">
        <v>763.59</v>
      </c>
      <c r="J150" s="144">
        <f>ROUND(I150*H150,2)</f>
        <v>43208.5</v>
      </c>
      <c r="K150" s="140" t="s">
        <v>1</v>
      </c>
      <c r="L150" s="33"/>
      <c r="M150" s="184" t="s">
        <v>1</v>
      </c>
      <c r="N150" s="185" t="s">
        <v>47</v>
      </c>
      <c r="O150" s="186">
        <v>3.53</v>
      </c>
      <c r="P150" s="186">
        <f>O150*H150</f>
        <v>199.74857999999998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AR150" s="149" t="s">
        <v>191</v>
      </c>
      <c r="AT150" s="149" t="s">
        <v>186</v>
      </c>
      <c r="AU150" s="149" t="s">
        <v>20</v>
      </c>
      <c r="AY150" s="18" t="s">
        <v>184</v>
      </c>
      <c r="BE150" s="150">
        <f>IF(N150="základní",J150,0)</f>
        <v>43208.5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8" t="s">
        <v>88</v>
      </c>
      <c r="BK150" s="150">
        <f>ROUND(I150*H150,2)</f>
        <v>43208.5</v>
      </c>
      <c r="BL150" s="18" t="s">
        <v>191</v>
      </c>
      <c r="BM150" s="149" t="s">
        <v>1440</v>
      </c>
    </row>
    <row r="151" spans="2:65" s="1" customFormat="1" ht="6.95" customHeight="1" x14ac:dyDescent="0.3">
      <c r="B151" s="45"/>
      <c r="C151" s="46"/>
      <c r="D151" s="46"/>
      <c r="E151" s="46"/>
      <c r="F151" s="46"/>
      <c r="G151" s="46"/>
      <c r="H151" s="46"/>
      <c r="I151" s="188"/>
      <c r="J151" s="46"/>
      <c r="K151" s="46"/>
      <c r="L151" s="33"/>
    </row>
  </sheetData>
  <sheetProtection sheet="1" objects="1" scenarios="1"/>
  <autoFilter ref="C118:K150" xr:uid="{FA4CD717-1C4E-44D7-ACEC-F42687D9604C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hyperlinks>
    <hyperlink ref="F123" r:id="rId1" xr:uid="{673BE5C0-6D17-4256-B94B-9D75DF9B29B9}"/>
    <hyperlink ref="F126" r:id="rId2" xr:uid="{DC0A17A5-9060-41AA-97EC-BFE3ECD5190B}"/>
    <hyperlink ref="F128" r:id="rId3" xr:uid="{1FE62254-B9D6-42F3-8117-6B5126BB1581}"/>
    <hyperlink ref="F130" r:id="rId4" xr:uid="{4865DD25-7090-421D-B6AF-3EE843AC8FFF}"/>
    <hyperlink ref="F132" r:id="rId5" xr:uid="{E5219A7F-96F8-479C-85BD-6AC2AC95470B}"/>
    <hyperlink ref="F137" r:id="rId6" xr:uid="{004DCC90-ACE4-4901-99ED-764CB551CD8A}"/>
    <hyperlink ref="F143" r:id="rId7" xr:uid="{05A893C7-69C2-40C2-87D2-695E6B098CBD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FB8FD-D959-49DB-8F33-B7155EB3A8F6}">
  <sheetPr>
    <tabColor indexed="23"/>
    <pageSetUpPr fitToPage="1"/>
  </sheetPr>
  <dimension ref="B2:BM156"/>
  <sheetViews>
    <sheetView showGridLines="0" zoomScaleNormal="100" workbookViewId="0">
      <selection activeCell="G90" sqref="G90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116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1441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ROUND(J84, 2)</f>
        <v>361827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ROUND((SUM(BE84:BE155)),  2)</f>
        <v>361827</v>
      </c>
      <c r="I33" s="99">
        <v>0.21</v>
      </c>
      <c r="J33" s="98">
        <f>ROUND(((SUM(BE84:BE155))*I33),  2)</f>
        <v>75983.67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ROUND((SUM(BF84:BF155)),  2)</f>
        <v>0</v>
      </c>
      <c r="I34" s="99">
        <v>0.15</v>
      </c>
      <c r="J34" s="98">
        <f>ROUND(((SUM(BF84:BF155))*I34),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ROUND((SUM(BG84:BG155)),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ROUND((SUM(BH84:BH155)),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ROUND((SUM(BI84:BI155)),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437810.67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101.II - Nový chodník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J84</f>
        <v>361827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J85</f>
        <v>361827</v>
      </c>
      <c r="L60" s="111"/>
    </row>
    <row r="61" spans="2:47" s="9" customFormat="1" ht="19.899999999999999" customHeight="1" x14ac:dyDescent="0.3">
      <c r="B61" s="115"/>
      <c r="D61" s="116" t="s">
        <v>161</v>
      </c>
      <c r="E61" s="117"/>
      <c r="F61" s="117"/>
      <c r="G61" s="117"/>
      <c r="H61" s="117"/>
      <c r="I61" s="117"/>
      <c r="J61" s="118">
        <f>J86</f>
        <v>181348.3</v>
      </c>
      <c r="L61" s="115"/>
    </row>
    <row r="62" spans="2:47" s="9" customFormat="1" ht="19.899999999999999" customHeight="1" x14ac:dyDescent="0.3">
      <c r="B62" s="115"/>
      <c r="D62" s="116" t="s">
        <v>162</v>
      </c>
      <c r="E62" s="117"/>
      <c r="F62" s="117"/>
      <c r="G62" s="117"/>
      <c r="H62" s="117"/>
      <c r="I62" s="117"/>
      <c r="J62" s="118">
        <f>J122</f>
        <v>115526.52</v>
      </c>
      <c r="L62" s="115"/>
    </row>
    <row r="63" spans="2:47" s="9" customFormat="1" ht="19.899999999999999" customHeight="1" x14ac:dyDescent="0.3">
      <c r="B63" s="115"/>
      <c r="D63" s="116" t="s">
        <v>163</v>
      </c>
      <c r="E63" s="117"/>
      <c r="F63" s="117"/>
      <c r="G63" s="117"/>
      <c r="H63" s="117"/>
      <c r="I63" s="117"/>
      <c r="J63" s="118">
        <f>J143</f>
        <v>48540.58</v>
      </c>
      <c r="L63" s="115"/>
    </row>
    <row r="64" spans="2:47" s="9" customFormat="1" ht="19.899999999999999" customHeight="1" x14ac:dyDescent="0.3">
      <c r="B64" s="115"/>
      <c r="D64" s="116" t="s">
        <v>165</v>
      </c>
      <c r="E64" s="117"/>
      <c r="F64" s="117"/>
      <c r="G64" s="117"/>
      <c r="H64" s="117"/>
      <c r="I64" s="117"/>
      <c r="J64" s="118">
        <f>J153</f>
        <v>16411.599999999999</v>
      </c>
      <c r="L64" s="115"/>
    </row>
    <row r="65" spans="2:12" s="1" customFormat="1" ht="21.75" customHeight="1" x14ac:dyDescent="0.3">
      <c r="B65" s="33"/>
      <c r="L65" s="33"/>
    </row>
    <row r="66" spans="2:12" s="1" customFormat="1" ht="6.95" customHeight="1" x14ac:dyDescent="0.3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33"/>
    </row>
    <row r="70" spans="2:12" s="1" customFormat="1" ht="6.95" customHeight="1" x14ac:dyDescent="0.3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33"/>
    </row>
    <row r="71" spans="2:12" s="1" customFormat="1" ht="24.95" customHeight="1" x14ac:dyDescent="0.3">
      <c r="B71" s="33"/>
      <c r="C71" s="22" t="s">
        <v>168</v>
      </c>
      <c r="L71" s="33"/>
    </row>
    <row r="72" spans="2:12" s="1" customFormat="1" ht="6.95" customHeight="1" x14ac:dyDescent="0.3">
      <c r="B72" s="33"/>
      <c r="L72" s="33"/>
    </row>
    <row r="73" spans="2:12" s="1" customFormat="1" ht="12" customHeight="1" x14ac:dyDescent="0.3">
      <c r="B73" s="33"/>
      <c r="C73" s="28" t="s">
        <v>15</v>
      </c>
      <c r="L73" s="33"/>
    </row>
    <row r="74" spans="2:12" s="1" customFormat="1" ht="16.5" customHeight="1" x14ac:dyDescent="0.3">
      <c r="B74" s="33"/>
      <c r="E74" s="324" t="str">
        <f>E7</f>
        <v>Obnova ulice Tyršova, Dobrovice - II. etapa</v>
      </c>
      <c r="F74" s="325"/>
      <c r="G74" s="325"/>
      <c r="H74" s="325"/>
      <c r="L74" s="33"/>
    </row>
    <row r="75" spans="2:12" s="1" customFormat="1" ht="12" customHeight="1" x14ac:dyDescent="0.3">
      <c r="B75" s="33"/>
      <c r="C75" s="28" t="s">
        <v>152</v>
      </c>
      <c r="L75" s="33"/>
    </row>
    <row r="76" spans="2:12" s="1" customFormat="1" ht="16.5" customHeight="1" x14ac:dyDescent="0.3">
      <c r="B76" s="33"/>
      <c r="E76" s="308" t="str">
        <f>E9</f>
        <v>SO 101.II - Nový chodník II. etapa</v>
      </c>
      <c r="F76" s="326"/>
      <c r="G76" s="326"/>
      <c r="H76" s="326"/>
      <c r="L76" s="33"/>
    </row>
    <row r="77" spans="2:12" s="1" customFormat="1" ht="6.95" customHeight="1" x14ac:dyDescent="0.3">
      <c r="B77" s="33"/>
      <c r="L77" s="33"/>
    </row>
    <row r="78" spans="2:12" s="1" customFormat="1" ht="12" customHeight="1" x14ac:dyDescent="0.3">
      <c r="B78" s="33"/>
      <c r="C78" s="28" t="s">
        <v>21</v>
      </c>
      <c r="F78" s="26" t="str">
        <f>F12</f>
        <v>Dobrovice</v>
      </c>
      <c r="I78" s="28" t="s">
        <v>23</v>
      </c>
      <c r="J78" s="53">
        <f>IF(J12="","",J12)</f>
        <v>45678</v>
      </c>
      <c r="L78" s="33"/>
    </row>
    <row r="79" spans="2:12" s="1" customFormat="1" ht="6.95" customHeight="1" x14ac:dyDescent="0.3">
      <c r="B79" s="33"/>
      <c r="L79" s="33"/>
    </row>
    <row r="80" spans="2:12" s="1" customFormat="1" ht="25.7" customHeight="1" x14ac:dyDescent="0.3">
      <c r="B80" s="33"/>
      <c r="C80" s="28" t="s">
        <v>28</v>
      </c>
      <c r="F80" s="26" t="str">
        <f>E15</f>
        <v>Město Dobrovice, Palckého nám. 28, 294 41</v>
      </c>
      <c r="I80" s="28" t="s">
        <v>34</v>
      </c>
      <c r="J80" s="96" t="str">
        <f>E21</f>
        <v>Ing. arch. Martin Jirovský Ph.D., MBA</v>
      </c>
      <c r="L80" s="33"/>
    </row>
    <row r="81" spans="2:65" s="1" customFormat="1" ht="40.15" customHeight="1" x14ac:dyDescent="0.3">
      <c r="B81" s="33"/>
      <c r="C81" s="28" t="s">
        <v>33</v>
      </c>
      <c r="F81" s="26">
        <f>IF(E18="","",E18)</f>
        <v>0</v>
      </c>
      <c r="I81" s="28" t="s">
        <v>38</v>
      </c>
      <c r="J81" s="96" t="str">
        <f>E24</f>
        <v>ROAD M.A.A.T. s.r.o., Petra Stejskalová</v>
      </c>
      <c r="L81" s="33"/>
    </row>
    <row r="82" spans="2:65" s="1" customFormat="1" ht="10.35" customHeight="1" x14ac:dyDescent="0.3">
      <c r="B82" s="33"/>
      <c r="L82" s="33"/>
    </row>
    <row r="83" spans="2:65" s="10" customFormat="1" ht="29.25" customHeight="1" x14ac:dyDescent="0.3">
      <c r="B83" s="119"/>
      <c r="C83" s="120" t="s">
        <v>169</v>
      </c>
      <c r="D83" s="121" t="s">
        <v>66</v>
      </c>
      <c r="E83" s="121" t="s">
        <v>63</v>
      </c>
      <c r="F83" s="121" t="s">
        <v>170</v>
      </c>
      <c r="G83" s="121" t="s">
        <v>171</v>
      </c>
      <c r="H83" s="121" t="s">
        <v>172</v>
      </c>
      <c r="I83" s="121" t="s">
        <v>173</v>
      </c>
      <c r="J83" s="121" t="s">
        <v>157</v>
      </c>
      <c r="K83" s="122" t="s">
        <v>174</v>
      </c>
      <c r="L83" s="119"/>
      <c r="M83" s="60" t="s">
        <v>1</v>
      </c>
      <c r="N83" s="61" t="s">
        <v>46</v>
      </c>
      <c r="O83" s="61" t="s">
        <v>175</v>
      </c>
      <c r="P83" s="61" t="s">
        <v>176</v>
      </c>
      <c r="Q83" s="61" t="s">
        <v>177</v>
      </c>
      <c r="R83" s="61" t="s">
        <v>178</v>
      </c>
      <c r="S83" s="61" t="s">
        <v>179</v>
      </c>
      <c r="T83" s="62" t="s">
        <v>180</v>
      </c>
    </row>
    <row r="84" spans="2:65" s="1" customFormat="1" ht="22.9" customHeight="1" x14ac:dyDescent="0.25">
      <c r="B84" s="33"/>
      <c r="C84" s="65" t="s">
        <v>181</v>
      </c>
      <c r="J84" s="123">
        <f>BK84</f>
        <v>361827</v>
      </c>
      <c r="L84" s="33"/>
      <c r="M84" s="63"/>
      <c r="N84" s="54"/>
      <c r="O84" s="54"/>
      <c r="P84" s="124">
        <f>P85</f>
        <v>197.34372500000001</v>
      </c>
      <c r="Q84" s="54"/>
      <c r="R84" s="124">
        <f>R85</f>
        <v>53.731303599999997</v>
      </c>
      <c r="S84" s="54"/>
      <c r="T84" s="125">
        <f>T85</f>
        <v>0</v>
      </c>
      <c r="AT84" s="18" t="s">
        <v>80</v>
      </c>
      <c r="AU84" s="18" t="s">
        <v>159</v>
      </c>
      <c r="BK84" s="126">
        <f>BK85</f>
        <v>361827</v>
      </c>
    </row>
    <row r="85" spans="2:65" s="11" customFormat="1" ht="25.9" customHeight="1" x14ac:dyDescent="0.2">
      <c r="B85" s="127"/>
      <c r="D85" s="128" t="s">
        <v>80</v>
      </c>
      <c r="E85" s="129" t="s">
        <v>182</v>
      </c>
      <c r="F85" s="129" t="s">
        <v>183</v>
      </c>
      <c r="J85" s="130">
        <f>BK85</f>
        <v>361827</v>
      </c>
      <c r="L85" s="127"/>
      <c r="M85" s="131"/>
      <c r="P85" s="132">
        <f>P86+P122+P143+P153</f>
        <v>197.34372500000001</v>
      </c>
      <c r="R85" s="132">
        <f>R86+R122+R143+R153</f>
        <v>53.731303599999997</v>
      </c>
      <c r="T85" s="133">
        <f>T86+T122+T143+T153</f>
        <v>0</v>
      </c>
      <c r="AR85" s="128" t="s">
        <v>88</v>
      </c>
      <c r="AT85" s="134" t="s">
        <v>80</v>
      </c>
      <c r="AU85" s="134" t="s">
        <v>81</v>
      </c>
      <c r="AY85" s="128" t="s">
        <v>184</v>
      </c>
      <c r="BK85" s="135">
        <f>BK86+BK122+BK143+BK153</f>
        <v>361827</v>
      </c>
    </row>
    <row r="86" spans="2:65" s="11" customFormat="1" ht="22.9" customHeight="1" x14ac:dyDescent="0.2">
      <c r="B86" s="127"/>
      <c r="D86" s="128" t="s">
        <v>80</v>
      </c>
      <c r="E86" s="136" t="s">
        <v>88</v>
      </c>
      <c r="F86" s="136" t="s">
        <v>185</v>
      </c>
      <c r="J86" s="137">
        <f>BK86</f>
        <v>181348.3</v>
      </c>
      <c r="L86" s="127"/>
      <c r="M86" s="131"/>
      <c r="P86" s="132">
        <f>SUM(P87:P121)</f>
        <v>116.50462800000003</v>
      </c>
      <c r="R86" s="132">
        <f>SUM(R87:R121)</f>
        <v>0</v>
      </c>
      <c r="T86" s="133">
        <f>SUM(T87:T121)</f>
        <v>0</v>
      </c>
      <c r="AR86" s="128" t="s">
        <v>88</v>
      </c>
      <c r="AT86" s="134" t="s">
        <v>80</v>
      </c>
      <c r="AU86" s="134" t="s">
        <v>88</v>
      </c>
      <c r="AY86" s="128" t="s">
        <v>184</v>
      </c>
      <c r="BK86" s="135">
        <f>SUM(BK87:BK121)</f>
        <v>181348.3</v>
      </c>
    </row>
    <row r="87" spans="2:65" s="1" customFormat="1" ht="16.5" customHeight="1" x14ac:dyDescent="0.3">
      <c r="B87" s="33"/>
      <c r="C87" s="138" t="s">
        <v>88</v>
      </c>
      <c r="D87" s="138" t="s">
        <v>186</v>
      </c>
      <c r="E87" s="139" t="s">
        <v>1443</v>
      </c>
      <c r="F87" s="140" t="s">
        <v>1444</v>
      </c>
      <c r="G87" s="141" t="s">
        <v>189</v>
      </c>
      <c r="H87" s="142">
        <v>61.646999999999998</v>
      </c>
      <c r="I87" s="143">
        <v>61.09</v>
      </c>
      <c r="J87" s="144">
        <f>ROUND(I87*H87,2)</f>
        <v>3766.02</v>
      </c>
      <c r="K87" s="140" t="s">
        <v>190</v>
      </c>
      <c r="L87" s="33"/>
      <c r="M87" s="145" t="s">
        <v>1</v>
      </c>
      <c r="N87" s="146" t="s">
        <v>47</v>
      </c>
      <c r="O87" s="147">
        <v>2.5999999999999999E-2</v>
      </c>
      <c r="P87" s="147">
        <f>O87*H87</f>
        <v>1.602822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49" t="s">
        <v>191</v>
      </c>
      <c r="AT87" s="149" t="s">
        <v>186</v>
      </c>
      <c r="AU87" s="149" t="s">
        <v>20</v>
      </c>
      <c r="AY87" s="18" t="s">
        <v>184</v>
      </c>
      <c r="BE87" s="150">
        <f>IF(N87="základní",J87,0)</f>
        <v>3766.02</v>
      </c>
      <c r="BF87" s="150">
        <f>IF(N87="snížená",J87,0)</f>
        <v>0</v>
      </c>
      <c r="BG87" s="150">
        <f>IF(N87="zákl. přenesená",J87,0)</f>
        <v>0</v>
      </c>
      <c r="BH87" s="150">
        <f>IF(N87="sníž. přenesená",J87,0)</f>
        <v>0</v>
      </c>
      <c r="BI87" s="150">
        <f>IF(N87="nulová",J87,0)</f>
        <v>0</v>
      </c>
      <c r="BJ87" s="18" t="s">
        <v>88</v>
      </c>
      <c r="BK87" s="150">
        <f>ROUND(I87*H87,2)</f>
        <v>3766.02</v>
      </c>
      <c r="BL87" s="18" t="s">
        <v>191</v>
      </c>
      <c r="BM87" s="149" t="s">
        <v>1445</v>
      </c>
    </row>
    <row r="88" spans="2:65" s="1" customFormat="1" x14ac:dyDescent="0.3">
      <c r="B88" s="33"/>
      <c r="D88" s="151" t="s">
        <v>193</v>
      </c>
      <c r="F88" s="152" t="s">
        <v>1446</v>
      </c>
      <c r="I88" s="153"/>
      <c r="L88" s="33"/>
      <c r="M88" s="154"/>
      <c r="T88" s="57"/>
      <c r="AT88" s="18" t="s">
        <v>193</v>
      </c>
      <c r="AU88" s="18" t="s">
        <v>20</v>
      </c>
    </row>
    <row r="89" spans="2:65" s="12" customFormat="1" ht="11.25" x14ac:dyDescent="0.3">
      <c r="B89" s="155"/>
      <c r="D89" s="156" t="s">
        <v>195</v>
      </c>
      <c r="E89" s="157" t="s">
        <v>1</v>
      </c>
      <c r="F89" s="158" t="s">
        <v>1447</v>
      </c>
      <c r="H89" s="159">
        <v>61.646999999999998</v>
      </c>
      <c r="I89" s="160"/>
      <c r="L89" s="155"/>
      <c r="M89" s="161"/>
      <c r="T89" s="162"/>
      <c r="AT89" s="157" t="s">
        <v>195</v>
      </c>
      <c r="AU89" s="157" t="s">
        <v>20</v>
      </c>
      <c r="AV89" s="12" t="s">
        <v>20</v>
      </c>
      <c r="AW89" s="12" t="s">
        <v>37</v>
      </c>
      <c r="AX89" s="12" t="s">
        <v>88</v>
      </c>
      <c r="AY89" s="157" t="s">
        <v>184</v>
      </c>
    </row>
    <row r="90" spans="2:65" s="1" customFormat="1" ht="21.75" customHeight="1" x14ac:dyDescent="0.3">
      <c r="B90" s="33"/>
      <c r="C90" s="138" t="s">
        <v>20</v>
      </c>
      <c r="D90" s="138" t="s">
        <v>186</v>
      </c>
      <c r="E90" s="139" t="s">
        <v>215</v>
      </c>
      <c r="F90" s="140" t="s">
        <v>1448</v>
      </c>
      <c r="G90" s="141" t="s">
        <v>217</v>
      </c>
      <c r="H90" s="142">
        <v>177.22300000000001</v>
      </c>
      <c r="I90" s="143">
        <v>190.9</v>
      </c>
      <c r="J90" s="144">
        <f>ROUND(I90*H90,2)</f>
        <v>33831.870000000003</v>
      </c>
      <c r="K90" s="140" t="s">
        <v>190</v>
      </c>
      <c r="L90" s="33"/>
      <c r="M90" s="145" t="s">
        <v>1</v>
      </c>
      <c r="N90" s="146" t="s">
        <v>47</v>
      </c>
      <c r="O90" s="147">
        <v>0.14000000000000001</v>
      </c>
      <c r="P90" s="147">
        <f>O90*H90</f>
        <v>24.811220000000006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49" t="s">
        <v>191</v>
      </c>
      <c r="AT90" s="149" t="s">
        <v>186</v>
      </c>
      <c r="AU90" s="149" t="s">
        <v>20</v>
      </c>
      <c r="AY90" s="18" t="s">
        <v>184</v>
      </c>
      <c r="BE90" s="150">
        <f>IF(N90="základní",J90,0)</f>
        <v>33831.870000000003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8" t="s">
        <v>88</v>
      </c>
      <c r="BK90" s="150">
        <f>ROUND(I90*H90,2)</f>
        <v>33831.870000000003</v>
      </c>
      <c r="BL90" s="18" t="s">
        <v>191</v>
      </c>
      <c r="BM90" s="149" t="s">
        <v>1449</v>
      </c>
    </row>
    <row r="91" spans="2:65" s="1" customFormat="1" x14ac:dyDescent="0.3">
      <c r="B91" s="33"/>
      <c r="D91" s="151" t="s">
        <v>193</v>
      </c>
      <c r="F91" s="152" t="s">
        <v>219</v>
      </c>
      <c r="I91" s="153"/>
      <c r="L91" s="33"/>
      <c r="M91" s="154"/>
      <c r="T91" s="57"/>
      <c r="AT91" s="18" t="s">
        <v>193</v>
      </c>
      <c r="AU91" s="18" t="s">
        <v>20</v>
      </c>
    </row>
    <row r="92" spans="2:65" s="12" customFormat="1" ht="11.25" x14ac:dyDescent="0.3">
      <c r="B92" s="155"/>
      <c r="D92" s="156" t="s">
        <v>195</v>
      </c>
      <c r="E92" s="157" t="s">
        <v>1</v>
      </c>
      <c r="F92" s="158" t="s">
        <v>1450</v>
      </c>
      <c r="H92" s="159">
        <v>12.329000000000001</v>
      </c>
      <c r="I92" s="160"/>
      <c r="L92" s="155"/>
      <c r="M92" s="161"/>
      <c r="T92" s="162"/>
      <c r="AT92" s="157" t="s">
        <v>195</v>
      </c>
      <c r="AU92" s="157" t="s">
        <v>20</v>
      </c>
      <c r="AV92" s="12" t="s">
        <v>20</v>
      </c>
      <c r="AW92" s="12" t="s">
        <v>37</v>
      </c>
      <c r="AX92" s="12" t="s">
        <v>81</v>
      </c>
      <c r="AY92" s="157" t="s">
        <v>184</v>
      </c>
    </row>
    <row r="93" spans="2:65" s="12" customFormat="1" ht="11.25" x14ac:dyDescent="0.3">
      <c r="B93" s="155"/>
      <c r="D93" s="156" t="s">
        <v>195</v>
      </c>
      <c r="E93" s="157" t="s">
        <v>1</v>
      </c>
      <c r="F93" s="158" t="s">
        <v>1451</v>
      </c>
      <c r="H93" s="159">
        <v>164.89400000000001</v>
      </c>
      <c r="I93" s="160"/>
      <c r="L93" s="155"/>
      <c r="M93" s="161"/>
      <c r="T93" s="162"/>
      <c r="AT93" s="157" t="s">
        <v>195</v>
      </c>
      <c r="AU93" s="157" t="s">
        <v>20</v>
      </c>
      <c r="AV93" s="12" t="s">
        <v>20</v>
      </c>
      <c r="AW93" s="12" t="s">
        <v>37</v>
      </c>
      <c r="AX93" s="12" t="s">
        <v>81</v>
      </c>
      <c r="AY93" s="157" t="s">
        <v>184</v>
      </c>
    </row>
    <row r="94" spans="2:65" s="13" customFormat="1" ht="11.25" x14ac:dyDescent="0.3">
      <c r="B94" s="163"/>
      <c r="D94" s="156" t="s">
        <v>195</v>
      </c>
      <c r="E94" s="164" t="s">
        <v>1</v>
      </c>
      <c r="F94" s="165" t="s">
        <v>230</v>
      </c>
      <c r="H94" s="166">
        <v>177.22300000000001</v>
      </c>
      <c r="I94" s="167"/>
      <c r="L94" s="163"/>
      <c r="M94" s="168"/>
      <c r="T94" s="169"/>
      <c r="AT94" s="164" t="s">
        <v>195</v>
      </c>
      <c r="AU94" s="164" t="s">
        <v>20</v>
      </c>
      <c r="AV94" s="13" t="s">
        <v>191</v>
      </c>
      <c r="AW94" s="13" t="s">
        <v>37</v>
      </c>
      <c r="AX94" s="13" t="s">
        <v>88</v>
      </c>
      <c r="AY94" s="164" t="s">
        <v>184</v>
      </c>
    </row>
    <row r="95" spans="2:65" s="1" customFormat="1" ht="24.2" customHeight="1" x14ac:dyDescent="0.3">
      <c r="B95" s="33"/>
      <c r="C95" s="138" t="s">
        <v>202</v>
      </c>
      <c r="D95" s="138" t="s">
        <v>186</v>
      </c>
      <c r="E95" s="139" t="s">
        <v>222</v>
      </c>
      <c r="F95" s="140" t="s">
        <v>1452</v>
      </c>
      <c r="G95" s="141" t="s">
        <v>217</v>
      </c>
      <c r="H95" s="142">
        <v>43.5</v>
      </c>
      <c r="I95" s="143">
        <v>474.04</v>
      </c>
      <c r="J95" s="144">
        <f>ROUND(I95*H95,2)</f>
        <v>20620.740000000002</v>
      </c>
      <c r="K95" s="140" t="s">
        <v>190</v>
      </c>
      <c r="L95" s="33"/>
      <c r="M95" s="145" t="s">
        <v>1</v>
      </c>
      <c r="N95" s="146" t="s">
        <v>47</v>
      </c>
      <c r="O95" s="147">
        <v>1.548</v>
      </c>
      <c r="P95" s="147">
        <f>O95*H95</f>
        <v>67.338000000000008</v>
      </c>
      <c r="Q95" s="147">
        <v>0</v>
      </c>
      <c r="R95" s="147">
        <f>Q95*H95</f>
        <v>0</v>
      </c>
      <c r="S95" s="147">
        <v>0</v>
      </c>
      <c r="T95" s="148">
        <f>S95*H95</f>
        <v>0</v>
      </c>
      <c r="AR95" s="149" t="s">
        <v>191</v>
      </c>
      <c r="AT95" s="149" t="s">
        <v>186</v>
      </c>
      <c r="AU95" s="149" t="s">
        <v>20</v>
      </c>
      <c r="AY95" s="18" t="s">
        <v>184</v>
      </c>
      <c r="BE95" s="150">
        <f>IF(N95="základní",J95,0)</f>
        <v>20620.740000000002</v>
      </c>
      <c r="BF95" s="150">
        <f>IF(N95="snížená",J95,0)</f>
        <v>0</v>
      </c>
      <c r="BG95" s="150">
        <f>IF(N95="zákl. přenesená",J95,0)</f>
        <v>0</v>
      </c>
      <c r="BH95" s="150">
        <f>IF(N95="sníž. přenesená",J95,0)</f>
        <v>0</v>
      </c>
      <c r="BI95" s="150">
        <f>IF(N95="nulová",J95,0)</f>
        <v>0</v>
      </c>
      <c r="BJ95" s="18" t="s">
        <v>88</v>
      </c>
      <c r="BK95" s="150">
        <f>ROUND(I95*H95,2)</f>
        <v>20620.740000000002</v>
      </c>
      <c r="BL95" s="18" t="s">
        <v>191</v>
      </c>
      <c r="BM95" s="149" t="s">
        <v>1453</v>
      </c>
    </row>
    <row r="96" spans="2:65" s="1" customFormat="1" x14ac:dyDescent="0.3">
      <c r="B96" s="33"/>
      <c r="D96" s="151" t="s">
        <v>193</v>
      </c>
      <c r="F96" s="152" t="s">
        <v>225</v>
      </c>
      <c r="I96" s="153"/>
      <c r="L96" s="33"/>
      <c r="M96" s="154"/>
      <c r="T96" s="57"/>
      <c r="AT96" s="18" t="s">
        <v>193</v>
      </c>
      <c r="AU96" s="18" t="s">
        <v>20</v>
      </c>
    </row>
    <row r="97" spans="2:65" s="12" customFormat="1" ht="11.25" x14ac:dyDescent="0.3">
      <c r="B97" s="155"/>
      <c r="D97" s="156" t="s">
        <v>195</v>
      </c>
      <c r="E97" s="157" t="s">
        <v>1</v>
      </c>
      <c r="F97" s="158" t="s">
        <v>1454</v>
      </c>
      <c r="H97" s="159">
        <v>13.5</v>
      </c>
      <c r="I97" s="160"/>
      <c r="L97" s="155"/>
      <c r="M97" s="161"/>
      <c r="T97" s="162"/>
      <c r="AT97" s="157" t="s">
        <v>195</v>
      </c>
      <c r="AU97" s="157" t="s">
        <v>20</v>
      </c>
      <c r="AV97" s="12" t="s">
        <v>20</v>
      </c>
      <c r="AW97" s="12" t="s">
        <v>37</v>
      </c>
      <c r="AX97" s="12" t="s">
        <v>81</v>
      </c>
      <c r="AY97" s="157" t="s">
        <v>184</v>
      </c>
    </row>
    <row r="98" spans="2:65" s="12" customFormat="1" ht="11.25" x14ac:dyDescent="0.3">
      <c r="B98" s="155"/>
      <c r="D98" s="156" t="s">
        <v>195</v>
      </c>
      <c r="E98" s="157" t="s">
        <v>1</v>
      </c>
      <c r="F98" s="158" t="s">
        <v>1455</v>
      </c>
      <c r="H98" s="159">
        <v>13.5</v>
      </c>
      <c r="I98" s="160"/>
      <c r="L98" s="155"/>
      <c r="M98" s="161"/>
      <c r="T98" s="162"/>
      <c r="AT98" s="157" t="s">
        <v>195</v>
      </c>
      <c r="AU98" s="157" t="s">
        <v>20</v>
      </c>
      <c r="AV98" s="12" t="s">
        <v>20</v>
      </c>
      <c r="AW98" s="12" t="s">
        <v>37</v>
      </c>
      <c r="AX98" s="12" t="s">
        <v>81</v>
      </c>
      <c r="AY98" s="157" t="s">
        <v>184</v>
      </c>
    </row>
    <row r="99" spans="2:65" s="12" customFormat="1" ht="11.25" x14ac:dyDescent="0.3">
      <c r="B99" s="155"/>
      <c r="D99" s="156" t="s">
        <v>195</v>
      </c>
      <c r="E99" s="157" t="s">
        <v>1</v>
      </c>
      <c r="F99" s="158" t="s">
        <v>1456</v>
      </c>
      <c r="H99" s="159">
        <v>14.5</v>
      </c>
      <c r="I99" s="160"/>
      <c r="L99" s="155"/>
      <c r="M99" s="161"/>
      <c r="T99" s="162"/>
      <c r="AT99" s="157" t="s">
        <v>195</v>
      </c>
      <c r="AU99" s="157" t="s">
        <v>20</v>
      </c>
      <c r="AV99" s="12" t="s">
        <v>20</v>
      </c>
      <c r="AW99" s="12" t="s">
        <v>37</v>
      </c>
      <c r="AX99" s="12" t="s">
        <v>81</v>
      </c>
      <c r="AY99" s="157" t="s">
        <v>184</v>
      </c>
    </row>
    <row r="100" spans="2:65" s="12" customFormat="1" ht="11.25" x14ac:dyDescent="0.3">
      <c r="B100" s="155"/>
      <c r="D100" s="156" t="s">
        <v>195</v>
      </c>
      <c r="E100" s="157" t="s">
        <v>1</v>
      </c>
      <c r="F100" s="158" t="s">
        <v>1457</v>
      </c>
      <c r="H100" s="159">
        <v>1</v>
      </c>
      <c r="I100" s="160"/>
      <c r="L100" s="155"/>
      <c r="M100" s="161"/>
      <c r="T100" s="162"/>
      <c r="AT100" s="157" t="s">
        <v>195</v>
      </c>
      <c r="AU100" s="157" t="s">
        <v>20</v>
      </c>
      <c r="AV100" s="12" t="s">
        <v>20</v>
      </c>
      <c r="AW100" s="12" t="s">
        <v>37</v>
      </c>
      <c r="AX100" s="12" t="s">
        <v>81</v>
      </c>
      <c r="AY100" s="157" t="s">
        <v>184</v>
      </c>
    </row>
    <row r="101" spans="2:65" s="12" customFormat="1" ht="11.25" x14ac:dyDescent="0.3">
      <c r="B101" s="155"/>
      <c r="D101" s="156" t="s">
        <v>195</v>
      </c>
      <c r="E101" s="157" t="s">
        <v>1</v>
      </c>
      <c r="F101" s="158" t="s">
        <v>1458</v>
      </c>
      <c r="H101" s="159">
        <v>1</v>
      </c>
      <c r="I101" s="160"/>
      <c r="L101" s="155"/>
      <c r="M101" s="161"/>
      <c r="T101" s="162"/>
      <c r="AT101" s="157" t="s">
        <v>195</v>
      </c>
      <c r="AU101" s="157" t="s">
        <v>20</v>
      </c>
      <c r="AV101" s="12" t="s">
        <v>20</v>
      </c>
      <c r="AW101" s="12" t="s">
        <v>37</v>
      </c>
      <c r="AX101" s="12" t="s">
        <v>81</v>
      </c>
      <c r="AY101" s="157" t="s">
        <v>184</v>
      </c>
    </row>
    <row r="102" spans="2:65" s="13" customFormat="1" ht="11.25" x14ac:dyDescent="0.3">
      <c r="B102" s="163"/>
      <c r="D102" s="156" t="s">
        <v>195</v>
      </c>
      <c r="E102" s="164" t="s">
        <v>1</v>
      </c>
      <c r="F102" s="165" t="s">
        <v>230</v>
      </c>
      <c r="H102" s="166">
        <v>43.5</v>
      </c>
      <c r="I102" s="167"/>
      <c r="L102" s="163"/>
      <c r="M102" s="168"/>
      <c r="T102" s="169"/>
      <c r="AT102" s="164" t="s">
        <v>195</v>
      </c>
      <c r="AU102" s="164" t="s">
        <v>20</v>
      </c>
      <c r="AV102" s="13" t="s">
        <v>191</v>
      </c>
      <c r="AW102" s="13" t="s">
        <v>37</v>
      </c>
      <c r="AX102" s="13" t="s">
        <v>88</v>
      </c>
      <c r="AY102" s="164" t="s">
        <v>184</v>
      </c>
    </row>
    <row r="103" spans="2:65" s="1" customFormat="1" ht="37.9" customHeight="1" x14ac:dyDescent="0.3">
      <c r="B103" s="33"/>
      <c r="C103" s="138" t="s">
        <v>191</v>
      </c>
      <c r="D103" s="138" t="s">
        <v>186</v>
      </c>
      <c r="E103" s="139" t="s">
        <v>1459</v>
      </c>
      <c r="F103" s="140" t="s">
        <v>1460</v>
      </c>
      <c r="G103" s="141" t="s">
        <v>217</v>
      </c>
      <c r="H103" s="142">
        <v>9.2469999999999999</v>
      </c>
      <c r="I103" s="143">
        <v>99.87</v>
      </c>
      <c r="J103" s="144">
        <f>ROUND(I103*H103,2)</f>
        <v>923.5</v>
      </c>
      <c r="K103" s="140" t="s">
        <v>190</v>
      </c>
      <c r="L103" s="33"/>
      <c r="M103" s="145" t="s">
        <v>1</v>
      </c>
      <c r="N103" s="146" t="s">
        <v>47</v>
      </c>
      <c r="O103" s="147">
        <v>4.3999999999999997E-2</v>
      </c>
      <c r="P103" s="147">
        <f>O103*H103</f>
        <v>0.40686799999999995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AR103" s="149" t="s">
        <v>191</v>
      </c>
      <c r="AT103" s="149" t="s">
        <v>186</v>
      </c>
      <c r="AU103" s="149" t="s">
        <v>20</v>
      </c>
      <c r="AY103" s="18" t="s">
        <v>184</v>
      </c>
      <c r="BE103" s="150">
        <f>IF(N103="základní",J103,0)</f>
        <v>923.5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8" t="s">
        <v>88</v>
      </c>
      <c r="BK103" s="150">
        <f>ROUND(I103*H103,2)</f>
        <v>923.5</v>
      </c>
      <c r="BL103" s="18" t="s">
        <v>191</v>
      </c>
      <c r="BM103" s="149" t="s">
        <v>1461</v>
      </c>
    </row>
    <row r="104" spans="2:65" s="1" customFormat="1" x14ac:dyDescent="0.3">
      <c r="B104" s="33"/>
      <c r="D104" s="151" t="s">
        <v>193</v>
      </c>
      <c r="F104" s="152" t="s">
        <v>1462</v>
      </c>
      <c r="I104" s="153"/>
      <c r="L104" s="33"/>
      <c r="M104" s="154"/>
      <c r="T104" s="57"/>
      <c r="AT104" s="18" t="s">
        <v>193</v>
      </c>
      <c r="AU104" s="18" t="s">
        <v>20</v>
      </c>
    </row>
    <row r="105" spans="2:65" s="12" customFormat="1" ht="11.25" x14ac:dyDescent="0.3">
      <c r="B105" s="155"/>
      <c r="D105" s="156" t="s">
        <v>195</v>
      </c>
      <c r="E105" s="157" t="s">
        <v>1</v>
      </c>
      <c r="F105" s="158" t="s">
        <v>1463</v>
      </c>
      <c r="H105" s="159">
        <v>9.2469999999999999</v>
      </c>
      <c r="I105" s="160"/>
      <c r="L105" s="155"/>
      <c r="M105" s="161"/>
      <c r="T105" s="162"/>
      <c r="AT105" s="157" t="s">
        <v>195</v>
      </c>
      <c r="AU105" s="157" t="s">
        <v>20</v>
      </c>
      <c r="AV105" s="12" t="s">
        <v>20</v>
      </c>
      <c r="AW105" s="12" t="s">
        <v>37</v>
      </c>
      <c r="AX105" s="12" t="s">
        <v>88</v>
      </c>
      <c r="AY105" s="157" t="s">
        <v>184</v>
      </c>
    </row>
    <row r="106" spans="2:65" s="1" customFormat="1" ht="37.9" customHeight="1" x14ac:dyDescent="0.3">
      <c r="B106" s="33"/>
      <c r="C106" s="138" t="s">
        <v>214</v>
      </c>
      <c r="D106" s="138" t="s">
        <v>186</v>
      </c>
      <c r="E106" s="139" t="s">
        <v>232</v>
      </c>
      <c r="F106" s="140" t="s">
        <v>1464</v>
      </c>
      <c r="G106" s="141" t="s">
        <v>217</v>
      </c>
      <c r="H106" s="142">
        <v>177.22300000000001</v>
      </c>
      <c r="I106" s="143">
        <v>103.82</v>
      </c>
      <c r="J106" s="144">
        <f>ROUND(I106*H106,2)</f>
        <v>18399.29</v>
      </c>
      <c r="K106" s="140" t="s">
        <v>190</v>
      </c>
      <c r="L106" s="33"/>
      <c r="M106" s="145" t="s">
        <v>1</v>
      </c>
      <c r="N106" s="146" t="s">
        <v>47</v>
      </c>
      <c r="O106" s="147">
        <v>8.6999999999999994E-2</v>
      </c>
      <c r="P106" s="147">
        <f>O106*H106</f>
        <v>15.418400999999999</v>
      </c>
      <c r="Q106" s="147">
        <v>0</v>
      </c>
      <c r="R106" s="147">
        <f>Q106*H106</f>
        <v>0</v>
      </c>
      <c r="S106" s="147">
        <v>0</v>
      </c>
      <c r="T106" s="148">
        <f>S106*H106</f>
        <v>0</v>
      </c>
      <c r="AR106" s="149" t="s">
        <v>191</v>
      </c>
      <c r="AT106" s="149" t="s">
        <v>186</v>
      </c>
      <c r="AU106" s="149" t="s">
        <v>20</v>
      </c>
      <c r="AY106" s="18" t="s">
        <v>184</v>
      </c>
      <c r="BE106" s="150">
        <f>IF(N106="základní",J106,0)</f>
        <v>18399.29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8" t="s">
        <v>88</v>
      </c>
      <c r="BK106" s="150">
        <f>ROUND(I106*H106,2)</f>
        <v>18399.29</v>
      </c>
      <c r="BL106" s="18" t="s">
        <v>191</v>
      </c>
      <c r="BM106" s="149" t="s">
        <v>1465</v>
      </c>
    </row>
    <row r="107" spans="2:65" s="1" customFormat="1" x14ac:dyDescent="0.3">
      <c r="B107" s="33"/>
      <c r="D107" s="151" t="s">
        <v>193</v>
      </c>
      <c r="F107" s="152" t="s">
        <v>235</v>
      </c>
      <c r="I107" s="153"/>
      <c r="L107" s="33"/>
      <c r="M107" s="154"/>
      <c r="T107" s="57"/>
      <c r="AT107" s="18" t="s">
        <v>193</v>
      </c>
      <c r="AU107" s="18" t="s">
        <v>20</v>
      </c>
    </row>
    <row r="108" spans="2:65" s="12" customFormat="1" ht="11.25" x14ac:dyDescent="0.3">
      <c r="B108" s="155"/>
      <c r="D108" s="156" t="s">
        <v>195</v>
      </c>
      <c r="E108" s="157" t="s">
        <v>1</v>
      </c>
      <c r="F108" s="158" t="s">
        <v>1466</v>
      </c>
      <c r="H108" s="159">
        <v>177.22300000000001</v>
      </c>
      <c r="I108" s="160"/>
      <c r="L108" s="155"/>
      <c r="M108" s="161"/>
      <c r="T108" s="162"/>
      <c r="AT108" s="157" t="s">
        <v>195</v>
      </c>
      <c r="AU108" s="157" t="s">
        <v>20</v>
      </c>
      <c r="AV108" s="12" t="s">
        <v>20</v>
      </c>
      <c r="AW108" s="12" t="s">
        <v>37</v>
      </c>
      <c r="AX108" s="12" t="s">
        <v>88</v>
      </c>
      <c r="AY108" s="157" t="s">
        <v>184</v>
      </c>
    </row>
    <row r="109" spans="2:65" s="1" customFormat="1" ht="37.9" customHeight="1" x14ac:dyDescent="0.3">
      <c r="B109" s="33"/>
      <c r="C109" s="138" t="s">
        <v>221</v>
      </c>
      <c r="D109" s="138" t="s">
        <v>186</v>
      </c>
      <c r="E109" s="139" t="s">
        <v>240</v>
      </c>
      <c r="F109" s="140" t="s">
        <v>1467</v>
      </c>
      <c r="G109" s="141" t="s">
        <v>217</v>
      </c>
      <c r="H109" s="142">
        <v>708.89200000000005</v>
      </c>
      <c r="I109" s="143">
        <v>7.13</v>
      </c>
      <c r="J109" s="144">
        <f>ROUND(I109*H109,2)</f>
        <v>5054.3999999999996</v>
      </c>
      <c r="K109" s="140" t="s">
        <v>190</v>
      </c>
      <c r="L109" s="33"/>
      <c r="M109" s="145" t="s">
        <v>1</v>
      </c>
      <c r="N109" s="146" t="s">
        <v>47</v>
      </c>
      <c r="O109" s="147">
        <v>5.0000000000000001E-3</v>
      </c>
      <c r="P109" s="147">
        <f>O109*H109</f>
        <v>3.5444600000000004</v>
      </c>
      <c r="Q109" s="147">
        <v>0</v>
      </c>
      <c r="R109" s="147">
        <f>Q109*H109</f>
        <v>0</v>
      </c>
      <c r="S109" s="147">
        <v>0</v>
      </c>
      <c r="T109" s="148">
        <f>S109*H109</f>
        <v>0</v>
      </c>
      <c r="AR109" s="149" t="s">
        <v>191</v>
      </c>
      <c r="AT109" s="149" t="s">
        <v>186</v>
      </c>
      <c r="AU109" s="149" t="s">
        <v>20</v>
      </c>
      <c r="AY109" s="18" t="s">
        <v>184</v>
      </c>
      <c r="BE109" s="150">
        <f>IF(N109="základní",J109,0)</f>
        <v>5054.3999999999996</v>
      </c>
      <c r="BF109" s="150">
        <f>IF(N109="snížená",J109,0)</f>
        <v>0</v>
      </c>
      <c r="BG109" s="150">
        <f>IF(N109="zákl. přenesená",J109,0)</f>
        <v>0</v>
      </c>
      <c r="BH109" s="150">
        <f>IF(N109="sníž. přenesená",J109,0)</f>
        <v>0</v>
      </c>
      <c r="BI109" s="150">
        <f>IF(N109="nulová",J109,0)</f>
        <v>0</v>
      </c>
      <c r="BJ109" s="18" t="s">
        <v>88</v>
      </c>
      <c r="BK109" s="150">
        <f>ROUND(I109*H109,2)</f>
        <v>5054.3999999999996</v>
      </c>
      <c r="BL109" s="18" t="s">
        <v>191</v>
      </c>
      <c r="BM109" s="149" t="s">
        <v>1468</v>
      </c>
    </row>
    <row r="110" spans="2:65" s="1" customFormat="1" x14ac:dyDescent="0.3">
      <c r="B110" s="33"/>
      <c r="D110" s="151" t="s">
        <v>193</v>
      </c>
      <c r="F110" s="152" t="s">
        <v>243</v>
      </c>
      <c r="I110" s="153"/>
      <c r="L110" s="33"/>
      <c r="M110" s="154"/>
      <c r="T110" s="57"/>
      <c r="AT110" s="18" t="s">
        <v>193</v>
      </c>
      <c r="AU110" s="18" t="s">
        <v>20</v>
      </c>
    </row>
    <row r="111" spans="2:65" s="1" customFormat="1" ht="19.5" x14ac:dyDescent="0.3">
      <c r="B111" s="33"/>
      <c r="D111" s="156" t="s">
        <v>236</v>
      </c>
      <c r="F111" s="170" t="s">
        <v>1327</v>
      </c>
      <c r="I111" s="153"/>
      <c r="L111" s="33"/>
      <c r="M111" s="154"/>
      <c r="T111" s="57"/>
      <c r="AT111" s="18" t="s">
        <v>236</v>
      </c>
      <c r="AU111" s="18" t="s">
        <v>20</v>
      </c>
    </row>
    <row r="112" spans="2:65" s="12" customFormat="1" ht="11.25" x14ac:dyDescent="0.3">
      <c r="B112" s="155"/>
      <c r="D112" s="156" t="s">
        <v>195</v>
      </c>
      <c r="E112" s="157" t="s">
        <v>1</v>
      </c>
      <c r="F112" s="158" t="s">
        <v>1469</v>
      </c>
      <c r="H112" s="159">
        <v>708.89200000000005</v>
      </c>
      <c r="I112" s="160"/>
      <c r="L112" s="155"/>
      <c r="M112" s="161"/>
      <c r="T112" s="162"/>
      <c r="AT112" s="157" t="s">
        <v>195</v>
      </c>
      <c r="AU112" s="157" t="s">
        <v>20</v>
      </c>
      <c r="AV112" s="12" t="s">
        <v>20</v>
      </c>
      <c r="AW112" s="12" t="s">
        <v>37</v>
      </c>
      <c r="AX112" s="12" t="s">
        <v>88</v>
      </c>
      <c r="AY112" s="157" t="s">
        <v>184</v>
      </c>
    </row>
    <row r="113" spans="2:65" s="1" customFormat="1" ht="24.2" customHeight="1" x14ac:dyDescent="0.3">
      <c r="B113" s="33"/>
      <c r="C113" s="138" t="s">
        <v>231</v>
      </c>
      <c r="D113" s="138" t="s">
        <v>186</v>
      </c>
      <c r="E113" s="139" t="s">
        <v>246</v>
      </c>
      <c r="F113" s="140" t="s">
        <v>1470</v>
      </c>
      <c r="G113" s="141" t="s">
        <v>248</v>
      </c>
      <c r="H113" s="142">
        <v>354.44600000000003</v>
      </c>
      <c r="I113" s="143">
        <v>256.7</v>
      </c>
      <c r="J113" s="144">
        <f>ROUND(I113*H113,2)</f>
        <v>90986.29</v>
      </c>
      <c r="K113" s="140" t="s">
        <v>190</v>
      </c>
      <c r="L113" s="33"/>
      <c r="M113" s="145" t="s">
        <v>1</v>
      </c>
      <c r="N113" s="146" t="s">
        <v>47</v>
      </c>
      <c r="O113" s="147">
        <v>0</v>
      </c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49" t="s">
        <v>191</v>
      </c>
      <c r="AT113" s="149" t="s">
        <v>186</v>
      </c>
      <c r="AU113" s="149" t="s">
        <v>20</v>
      </c>
      <c r="AY113" s="18" t="s">
        <v>184</v>
      </c>
      <c r="BE113" s="150">
        <f>IF(N113="základní",J113,0)</f>
        <v>90986.29</v>
      </c>
      <c r="BF113" s="150">
        <f>IF(N113="snížená",J113,0)</f>
        <v>0</v>
      </c>
      <c r="BG113" s="150">
        <f>IF(N113="zákl. přenesená",J113,0)</f>
        <v>0</v>
      </c>
      <c r="BH113" s="150">
        <f>IF(N113="sníž. přenesená",J113,0)</f>
        <v>0</v>
      </c>
      <c r="BI113" s="150">
        <f>IF(N113="nulová",J113,0)</f>
        <v>0</v>
      </c>
      <c r="BJ113" s="18" t="s">
        <v>88</v>
      </c>
      <c r="BK113" s="150">
        <f>ROUND(I113*H113,2)</f>
        <v>90986.29</v>
      </c>
      <c r="BL113" s="18" t="s">
        <v>191</v>
      </c>
      <c r="BM113" s="149" t="s">
        <v>1471</v>
      </c>
    </row>
    <row r="114" spans="2:65" s="1" customFormat="1" x14ac:dyDescent="0.3">
      <c r="B114" s="33"/>
      <c r="D114" s="151" t="s">
        <v>193</v>
      </c>
      <c r="F114" s="152" t="s">
        <v>250</v>
      </c>
      <c r="I114" s="153"/>
      <c r="L114" s="33"/>
      <c r="M114" s="154"/>
      <c r="T114" s="57"/>
      <c r="AT114" s="18" t="s">
        <v>193</v>
      </c>
      <c r="AU114" s="18" t="s">
        <v>20</v>
      </c>
    </row>
    <row r="115" spans="2:65" s="12" customFormat="1" ht="11.25" x14ac:dyDescent="0.3">
      <c r="B115" s="155"/>
      <c r="D115" s="156" t="s">
        <v>195</v>
      </c>
      <c r="E115" s="157" t="s">
        <v>1</v>
      </c>
      <c r="F115" s="158" t="s">
        <v>1472</v>
      </c>
      <c r="H115" s="159">
        <v>354.44600000000003</v>
      </c>
      <c r="I115" s="160"/>
      <c r="L115" s="155"/>
      <c r="M115" s="161"/>
      <c r="T115" s="162"/>
      <c r="AT115" s="157" t="s">
        <v>195</v>
      </c>
      <c r="AU115" s="157" t="s">
        <v>20</v>
      </c>
      <c r="AV115" s="12" t="s">
        <v>20</v>
      </c>
      <c r="AW115" s="12" t="s">
        <v>37</v>
      </c>
      <c r="AX115" s="12" t="s">
        <v>88</v>
      </c>
      <c r="AY115" s="157" t="s">
        <v>184</v>
      </c>
    </row>
    <row r="116" spans="2:65" s="1" customFormat="1" ht="24.2" customHeight="1" x14ac:dyDescent="0.3">
      <c r="B116" s="33"/>
      <c r="C116" s="138" t="s">
        <v>239</v>
      </c>
      <c r="D116" s="138" t="s">
        <v>186</v>
      </c>
      <c r="E116" s="139" t="s">
        <v>253</v>
      </c>
      <c r="F116" s="140" t="s">
        <v>1473</v>
      </c>
      <c r="G116" s="141" t="s">
        <v>217</v>
      </c>
      <c r="H116" s="142">
        <v>177.22300000000001</v>
      </c>
      <c r="I116" s="143">
        <v>30.54</v>
      </c>
      <c r="J116" s="144">
        <f>ROUND(I116*H116,2)</f>
        <v>5412.39</v>
      </c>
      <c r="K116" s="140" t="s">
        <v>190</v>
      </c>
      <c r="L116" s="33"/>
      <c r="M116" s="145" t="s">
        <v>1</v>
      </c>
      <c r="N116" s="146" t="s">
        <v>47</v>
      </c>
      <c r="O116" s="147">
        <v>8.9999999999999993E-3</v>
      </c>
      <c r="P116" s="147">
        <f>O116*H116</f>
        <v>1.5950070000000001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49" t="s">
        <v>191</v>
      </c>
      <c r="AT116" s="149" t="s">
        <v>186</v>
      </c>
      <c r="AU116" s="149" t="s">
        <v>20</v>
      </c>
      <c r="AY116" s="18" t="s">
        <v>184</v>
      </c>
      <c r="BE116" s="150">
        <f>IF(N116="základní",J116,0)</f>
        <v>5412.39</v>
      </c>
      <c r="BF116" s="150">
        <f>IF(N116="snížená",J116,0)</f>
        <v>0</v>
      </c>
      <c r="BG116" s="150">
        <f>IF(N116="zákl. přenesená",J116,0)</f>
        <v>0</v>
      </c>
      <c r="BH116" s="150">
        <f>IF(N116="sníž. přenesená",J116,0)</f>
        <v>0</v>
      </c>
      <c r="BI116" s="150">
        <f>IF(N116="nulová",J116,0)</f>
        <v>0</v>
      </c>
      <c r="BJ116" s="18" t="s">
        <v>88</v>
      </c>
      <c r="BK116" s="150">
        <f>ROUND(I116*H116,2)</f>
        <v>5412.39</v>
      </c>
      <c r="BL116" s="18" t="s">
        <v>191</v>
      </c>
      <c r="BM116" s="149" t="s">
        <v>1474</v>
      </c>
    </row>
    <row r="117" spans="2:65" s="1" customFormat="1" x14ac:dyDescent="0.3">
      <c r="B117" s="33"/>
      <c r="D117" s="151" t="s">
        <v>193</v>
      </c>
      <c r="F117" s="152" t="s">
        <v>256</v>
      </c>
      <c r="I117" s="153"/>
      <c r="L117" s="33"/>
      <c r="M117" s="154"/>
      <c r="T117" s="57"/>
      <c r="AT117" s="18" t="s">
        <v>193</v>
      </c>
      <c r="AU117" s="18" t="s">
        <v>20</v>
      </c>
    </row>
    <row r="118" spans="2:65" s="1" customFormat="1" ht="16.5" customHeight="1" x14ac:dyDescent="0.3">
      <c r="B118" s="33"/>
      <c r="C118" s="138" t="s">
        <v>245</v>
      </c>
      <c r="D118" s="138" t="s">
        <v>186</v>
      </c>
      <c r="E118" s="139" t="s">
        <v>258</v>
      </c>
      <c r="F118" s="140" t="s">
        <v>1475</v>
      </c>
      <c r="G118" s="141" t="s">
        <v>189</v>
      </c>
      <c r="H118" s="142">
        <v>61.65</v>
      </c>
      <c r="I118" s="143">
        <v>38.18</v>
      </c>
      <c r="J118" s="144">
        <f>ROUND(I118*H118,2)</f>
        <v>2353.8000000000002</v>
      </c>
      <c r="K118" s="140" t="s">
        <v>190</v>
      </c>
      <c r="L118" s="33"/>
      <c r="M118" s="145" t="s">
        <v>1</v>
      </c>
      <c r="N118" s="146" t="s">
        <v>47</v>
      </c>
      <c r="O118" s="147">
        <v>2.9000000000000001E-2</v>
      </c>
      <c r="P118" s="147">
        <f>O118*H118</f>
        <v>1.7878499999999999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49" t="s">
        <v>191</v>
      </c>
      <c r="AT118" s="149" t="s">
        <v>186</v>
      </c>
      <c r="AU118" s="149" t="s">
        <v>20</v>
      </c>
      <c r="AY118" s="18" t="s">
        <v>184</v>
      </c>
      <c r="BE118" s="150">
        <f>IF(N118="základní",J118,0)</f>
        <v>2353.8000000000002</v>
      </c>
      <c r="BF118" s="150">
        <f>IF(N118="snížená",J118,0)</f>
        <v>0</v>
      </c>
      <c r="BG118" s="150">
        <f>IF(N118="zákl. přenesená",J118,0)</f>
        <v>0</v>
      </c>
      <c r="BH118" s="150">
        <f>IF(N118="sníž. přenesená",J118,0)</f>
        <v>0</v>
      </c>
      <c r="BI118" s="150">
        <f>IF(N118="nulová",J118,0)</f>
        <v>0</v>
      </c>
      <c r="BJ118" s="18" t="s">
        <v>88</v>
      </c>
      <c r="BK118" s="150">
        <f>ROUND(I118*H118,2)</f>
        <v>2353.8000000000002</v>
      </c>
      <c r="BL118" s="18" t="s">
        <v>191</v>
      </c>
      <c r="BM118" s="149" t="s">
        <v>1476</v>
      </c>
    </row>
    <row r="119" spans="2:65" s="1" customFormat="1" x14ac:dyDescent="0.3">
      <c r="B119" s="33"/>
      <c r="D119" s="151" t="s">
        <v>193</v>
      </c>
      <c r="F119" s="152" t="s">
        <v>1477</v>
      </c>
      <c r="I119" s="153"/>
      <c r="L119" s="33"/>
      <c r="M119" s="154"/>
      <c r="T119" s="57"/>
      <c r="AT119" s="18" t="s">
        <v>193</v>
      </c>
      <c r="AU119" s="18" t="s">
        <v>20</v>
      </c>
    </row>
    <row r="120" spans="2:65" s="1" customFormat="1" ht="19.5" x14ac:dyDescent="0.3">
      <c r="B120" s="33"/>
      <c r="D120" s="156" t="s">
        <v>236</v>
      </c>
      <c r="F120" s="170" t="s">
        <v>261</v>
      </c>
      <c r="I120" s="153"/>
      <c r="L120" s="33"/>
      <c r="M120" s="154"/>
      <c r="T120" s="57"/>
      <c r="AT120" s="18" t="s">
        <v>236</v>
      </c>
      <c r="AU120" s="18" t="s">
        <v>20</v>
      </c>
    </row>
    <row r="121" spans="2:65" s="12" customFormat="1" ht="11.25" x14ac:dyDescent="0.3">
      <c r="B121" s="155"/>
      <c r="D121" s="156" t="s">
        <v>195</v>
      </c>
      <c r="E121" s="157" t="s">
        <v>1</v>
      </c>
      <c r="F121" s="158" t="s">
        <v>1478</v>
      </c>
      <c r="H121" s="159">
        <v>61.65</v>
      </c>
      <c r="I121" s="160"/>
      <c r="L121" s="155"/>
      <c r="M121" s="161"/>
      <c r="T121" s="162"/>
      <c r="AT121" s="157" t="s">
        <v>195</v>
      </c>
      <c r="AU121" s="157" t="s">
        <v>20</v>
      </c>
      <c r="AV121" s="12" t="s">
        <v>20</v>
      </c>
      <c r="AW121" s="12" t="s">
        <v>37</v>
      </c>
      <c r="AX121" s="12" t="s">
        <v>88</v>
      </c>
      <c r="AY121" s="157" t="s">
        <v>184</v>
      </c>
    </row>
    <row r="122" spans="2:65" s="11" customFormat="1" ht="22.9" customHeight="1" x14ac:dyDescent="0.2">
      <c r="B122" s="127"/>
      <c r="D122" s="128" t="s">
        <v>80</v>
      </c>
      <c r="E122" s="136" t="s">
        <v>214</v>
      </c>
      <c r="F122" s="136" t="s">
        <v>263</v>
      </c>
      <c r="I122" s="171"/>
      <c r="J122" s="137">
        <f>BK122</f>
        <v>115526.52</v>
      </c>
      <c r="L122" s="127"/>
      <c r="M122" s="131"/>
      <c r="P122" s="132">
        <f>SUM(P123:P142)</f>
        <v>46.123889999999996</v>
      </c>
      <c r="R122" s="132">
        <f>SUM(R123:R142)</f>
        <v>43.898898599999995</v>
      </c>
      <c r="T122" s="133">
        <f>SUM(T123:T142)</f>
        <v>0</v>
      </c>
      <c r="AR122" s="128" t="s">
        <v>88</v>
      </c>
      <c r="AT122" s="134" t="s">
        <v>80</v>
      </c>
      <c r="AU122" s="134" t="s">
        <v>88</v>
      </c>
      <c r="AY122" s="128" t="s">
        <v>184</v>
      </c>
      <c r="BK122" s="135">
        <f>SUM(BK123:BK142)</f>
        <v>115526.52</v>
      </c>
    </row>
    <row r="123" spans="2:65" s="1" customFormat="1" ht="37.9" customHeight="1" x14ac:dyDescent="0.3">
      <c r="B123" s="33"/>
      <c r="C123" s="138" t="s">
        <v>252</v>
      </c>
      <c r="D123" s="138" t="s">
        <v>186</v>
      </c>
      <c r="E123" s="139" t="s">
        <v>265</v>
      </c>
      <c r="F123" s="140" t="s">
        <v>1479</v>
      </c>
      <c r="G123" s="141" t="s">
        <v>189</v>
      </c>
      <c r="H123" s="142">
        <v>61.65</v>
      </c>
      <c r="I123" s="143">
        <v>360.97</v>
      </c>
      <c r="J123" s="144">
        <f>ROUND(I123*H123,2)</f>
        <v>22253.8</v>
      </c>
      <c r="K123" s="140" t="s">
        <v>190</v>
      </c>
      <c r="L123" s="33"/>
      <c r="M123" s="145" t="s">
        <v>1</v>
      </c>
      <c r="N123" s="146" t="s">
        <v>47</v>
      </c>
      <c r="O123" s="147">
        <v>4.4999999999999998E-2</v>
      </c>
      <c r="P123" s="147">
        <f>O123*H123</f>
        <v>2.7742499999999999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49" t="s">
        <v>191</v>
      </c>
      <c r="AT123" s="149" t="s">
        <v>186</v>
      </c>
      <c r="AU123" s="149" t="s">
        <v>20</v>
      </c>
      <c r="AY123" s="18" t="s">
        <v>184</v>
      </c>
      <c r="BE123" s="150">
        <f>IF(N123="základní",J123,0)</f>
        <v>22253.8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8" t="s">
        <v>88</v>
      </c>
      <c r="BK123" s="150">
        <f>ROUND(I123*H123,2)</f>
        <v>22253.8</v>
      </c>
      <c r="BL123" s="18" t="s">
        <v>191</v>
      </c>
      <c r="BM123" s="149" t="s">
        <v>1480</v>
      </c>
    </row>
    <row r="124" spans="2:65" s="1" customFormat="1" x14ac:dyDescent="0.3">
      <c r="B124" s="33"/>
      <c r="D124" s="151" t="s">
        <v>193</v>
      </c>
      <c r="F124" s="152" t="s">
        <v>268</v>
      </c>
      <c r="I124" s="153"/>
      <c r="L124" s="33"/>
      <c r="M124" s="154"/>
      <c r="T124" s="57"/>
      <c r="AT124" s="18" t="s">
        <v>193</v>
      </c>
      <c r="AU124" s="18" t="s">
        <v>20</v>
      </c>
    </row>
    <row r="125" spans="2:65" s="1" customFormat="1" ht="19.5" x14ac:dyDescent="0.3">
      <c r="B125" s="33"/>
      <c r="D125" s="156" t="s">
        <v>236</v>
      </c>
      <c r="F125" s="170" t="s">
        <v>261</v>
      </c>
      <c r="I125" s="153"/>
      <c r="L125" s="33"/>
      <c r="M125" s="154"/>
      <c r="T125" s="57"/>
      <c r="AT125" s="18" t="s">
        <v>236</v>
      </c>
      <c r="AU125" s="18" t="s">
        <v>20</v>
      </c>
    </row>
    <row r="126" spans="2:65" s="12" customFormat="1" ht="11.25" x14ac:dyDescent="0.3">
      <c r="B126" s="155"/>
      <c r="D126" s="156" t="s">
        <v>195</v>
      </c>
      <c r="E126" s="157" t="s">
        <v>1</v>
      </c>
      <c r="F126" s="158" t="s">
        <v>1481</v>
      </c>
      <c r="H126" s="159">
        <v>61.65</v>
      </c>
      <c r="I126" s="160"/>
      <c r="L126" s="155"/>
      <c r="M126" s="161"/>
      <c r="T126" s="162"/>
      <c r="AT126" s="157" t="s">
        <v>195</v>
      </c>
      <c r="AU126" s="157" t="s">
        <v>20</v>
      </c>
      <c r="AV126" s="12" t="s">
        <v>20</v>
      </c>
      <c r="AW126" s="12" t="s">
        <v>37</v>
      </c>
      <c r="AX126" s="12" t="s">
        <v>88</v>
      </c>
      <c r="AY126" s="157" t="s">
        <v>184</v>
      </c>
    </row>
    <row r="127" spans="2:65" s="1" customFormat="1" ht="16.5" customHeight="1" x14ac:dyDescent="0.3">
      <c r="B127" s="33"/>
      <c r="C127" s="172" t="s">
        <v>257</v>
      </c>
      <c r="D127" s="172" t="s">
        <v>271</v>
      </c>
      <c r="E127" s="173" t="s">
        <v>272</v>
      </c>
      <c r="F127" s="174" t="s">
        <v>273</v>
      </c>
      <c r="G127" s="175" t="s">
        <v>248</v>
      </c>
      <c r="H127" s="176">
        <v>1.48</v>
      </c>
      <c r="I127" s="177">
        <v>7944.56</v>
      </c>
      <c r="J127" s="178">
        <f>ROUND(I127*H127,2)</f>
        <v>11757.95</v>
      </c>
      <c r="K127" s="174" t="s">
        <v>190</v>
      </c>
      <c r="L127" s="179"/>
      <c r="M127" s="180" t="s">
        <v>1</v>
      </c>
      <c r="N127" s="181" t="s">
        <v>47</v>
      </c>
      <c r="O127" s="147">
        <v>0</v>
      </c>
      <c r="P127" s="147">
        <f>O127*H127</f>
        <v>0</v>
      </c>
      <c r="Q127" s="147">
        <v>1</v>
      </c>
      <c r="R127" s="147">
        <f>Q127*H127</f>
        <v>1.48</v>
      </c>
      <c r="S127" s="147">
        <v>0</v>
      </c>
      <c r="T127" s="148">
        <f>S127*H127</f>
        <v>0</v>
      </c>
      <c r="AR127" s="149" t="s">
        <v>239</v>
      </c>
      <c r="AT127" s="149" t="s">
        <v>271</v>
      </c>
      <c r="AU127" s="149" t="s">
        <v>20</v>
      </c>
      <c r="AY127" s="18" t="s">
        <v>184</v>
      </c>
      <c r="BE127" s="150">
        <f>IF(N127="základní",J127,0)</f>
        <v>11757.95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8" t="s">
        <v>88</v>
      </c>
      <c r="BK127" s="150">
        <f>ROUND(I127*H127,2)</f>
        <v>11757.95</v>
      </c>
      <c r="BL127" s="18" t="s">
        <v>191</v>
      </c>
      <c r="BM127" s="149" t="s">
        <v>1482</v>
      </c>
    </row>
    <row r="128" spans="2:65" s="12" customFormat="1" ht="11.25" x14ac:dyDescent="0.3">
      <c r="B128" s="155"/>
      <c r="D128" s="156" t="s">
        <v>195</v>
      </c>
      <c r="E128" s="157" t="s">
        <v>1</v>
      </c>
      <c r="F128" s="158" t="s">
        <v>1483</v>
      </c>
      <c r="H128" s="159">
        <v>1.48</v>
      </c>
      <c r="I128" s="160"/>
      <c r="L128" s="155"/>
      <c r="M128" s="161"/>
      <c r="T128" s="162"/>
      <c r="AT128" s="157" t="s">
        <v>195</v>
      </c>
      <c r="AU128" s="157" t="s">
        <v>20</v>
      </c>
      <c r="AV128" s="12" t="s">
        <v>20</v>
      </c>
      <c r="AW128" s="12" t="s">
        <v>37</v>
      </c>
      <c r="AX128" s="12" t="s">
        <v>88</v>
      </c>
      <c r="AY128" s="157" t="s">
        <v>184</v>
      </c>
    </row>
    <row r="129" spans="2:65" s="1" customFormat="1" ht="21.75" customHeight="1" x14ac:dyDescent="0.3">
      <c r="B129" s="33"/>
      <c r="C129" s="138" t="s">
        <v>264</v>
      </c>
      <c r="D129" s="138" t="s">
        <v>186</v>
      </c>
      <c r="E129" s="139" t="s">
        <v>1484</v>
      </c>
      <c r="F129" s="140" t="s">
        <v>1485</v>
      </c>
      <c r="G129" s="141" t="s">
        <v>189</v>
      </c>
      <c r="H129" s="142">
        <v>54.067</v>
      </c>
      <c r="I129" s="143">
        <v>392.36</v>
      </c>
      <c r="J129" s="144">
        <f>ROUND(I129*H129,2)</f>
        <v>21213.73</v>
      </c>
      <c r="K129" s="140" t="s">
        <v>190</v>
      </c>
      <c r="L129" s="33"/>
      <c r="M129" s="145" t="s">
        <v>1</v>
      </c>
      <c r="N129" s="146" t="s">
        <v>47</v>
      </c>
      <c r="O129" s="147">
        <v>0.12</v>
      </c>
      <c r="P129" s="147">
        <f>O129*H129</f>
        <v>6.4880399999999998</v>
      </c>
      <c r="Q129" s="147">
        <v>0.57499999999999996</v>
      </c>
      <c r="R129" s="147">
        <f>Q129*H129</f>
        <v>31.088524999999997</v>
      </c>
      <c r="S129" s="147">
        <v>0</v>
      </c>
      <c r="T129" s="148">
        <f>S129*H129</f>
        <v>0</v>
      </c>
      <c r="AR129" s="149" t="s">
        <v>191</v>
      </c>
      <c r="AT129" s="149" t="s">
        <v>186</v>
      </c>
      <c r="AU129" s="149" t="s">
        <v>20</v>
      </c>
      <c r="AY129" s="18" t="s">
        <v>184</v>
      </c>
      <c r="BE129" s="150">
        <f>IF(N129="základní",J129,0)</f>
        <v>21213.73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8" t="s">
        <v>88</v>
      </c>
      <c r="BK129" s="150">
        <f>ROUND(I129*H129,2)</f>
        <v>21213.73</v>
      </c>
      <c r="BL129" s="18" t="s">
        <v>191</v>
      </c>
      <c r="BM129" s="149" t="s">
        <v>1486</v>
      </c>
    </row>
    <row r="130" spans="2:65" s="1" customFormat="1" x14ac:dyDescent="0.3">
      <c r="B130" s="33"/>
      <c r="D130" s="151" t="s">
        <v>193</v>
      </c>
      <c r="F130" s="152" t="s">
        <v>1487</v>
      </c>
      <c r="I130" s="153"/>
      <c r="L130" s="33"/>
      <c r="M130" s="154"/>
      <c r="T130" s="57"/>
      <c r="AT130" s="18" t="s">
        <v>193</v>
      </c>
      <c r="AU130" s="18" t="s">
        <v>20</v>
      </c>
    </row>
    <row r="131" spans="2:65" s="12" customFormat="1" ht="11.25" x14ac:dyDescent="0.3">
      <c r="B131" s="155"/>
      <c r="D131" s="156" t="s">
        <v>195</v>
      </c>
      <c r="E131" s="157" t="s">
        <v>1</v>
      </c>
      <c r="F131" s="158" t="s">
        <v>1488</v>
      </c>
      <c r="H131" s="159">
        <v>54.067</v>
      </c>
      <c r="I131" s="160"/>
      <c r="L131" s="155"/>
      <c r="M131" s="161"/>
      <c r="T131" s="162"/>
      <c r="AT131" s="157" t="s">
        <v>195</v>
      </c>
      <c r="AU131" s="157" t="s">
        <v>20</v>
      </c>
      <c r="AV131" s="12" t="s">
        <v>20</v>
      </c>
      <c r="AW131" s="12" t="s">
        <v>37</v>
      </c>
      <c r="AX131" s="12" t="s">
        <v>88</v>
      </c>
      <c r="AY131" s="157" t="s">
        <v>184</v>
      </c>
    </row>
    <row r="132" spans="2:65" s="1" customFormat="1" ht="37.9" customHeight="1" x14ac:dyDescent="0.3">
      <c r="B132" s="33"/>
      <c r="C132" s="138" t="s">
        <v>270</v>
      </c>
      <c r="D132" s="138" t="s">
        <v>186</v>
      </c>
      <c r="E132" s="139" t="s">
        <v>1489</v>
      </c>
      <c r="F132" s="140" t="s">
        <v>1490</v>
      </c>
      <c r="G132" s="141" t="s">
        <v>189</v>
      </c>
      <c r="H132" s="142">
        <v>50.53</v>
      </c>
      <c r="I132" s="143">
        <v>674.86</v>
      </c>
      <c r="J132" s="144">
        <f>ROUND(I132*H132,2)</f>
        <v>34100.68</v>
      </c>
      <c r="K132" s="140" t="s">
        <v>190</v>
      </c>
      <c r="L132" s="33"/>
      <c r="M132" s="145" t="s">
        <v>1</v>
      </c>
      <c r="N132" s="146" t="s">
        <v>47</v>
      </c>
      <c r="O132" s="147">
        <v>0.72</v>
      </c>
      <c r="P132" s="147">
        <f>O132*H132</f>
        <v>36.381599999999999</v>
      </c>
      <c r="Q132" s="147">
        <v>8.9219999999999994E-2</v>
      </c>
      <c r="R132" s="147">
        <f>Q132*H132</f>
        <v>4.5082865999999999</v>
      </c>
      <c r="S132" s="147">
        <v>0</v>
      </c>
      <c r="T132" s="148">
        <f>S132*H132</f>
        <v>0</v>
      </c>
      <c r="AR132" s="149" t="s">
        <v>191</v>
      </c>
      <c r="AT132" s="149" t="s">
        <v>186</v>
      </c>
      <c r="AU132" s="149" t="s">
        <v>20</v>
      </c>
      <c r="AY132" s="18" t="s">
        <v>184</v>
      </c>
      <c r="BE132" s="150">
        <f>IF(N132="základní",J132,0)</f>
        <v>34100.68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8" t="s">
        <v>88</v>
      </c>
      <c r="BK132" s="150">
        <f>ROUND(I132*H132,2)</f>
        <v>34100.68</v>
      </c>
      <c r="BL132" s="18" t="s">
        <v>191</v>
      </c>
      <c r="BM132" s="149" t="s">
        <v>1491</v>
      </c>
    </row>
    <row r="133" spans="2:65" s="1" customFormat="1" x14ac:dyDescent="0.3">
      <c r="B133" s="33"/>
      <c r="D133" s="151" t="s">
        <v>193</v>
      </c>
      <c r="F133" s="152" t="s">
        <v>1492</v>
      </c>
      <c r="I133" s="153"/>
      <c r="L133" s="33"/>
      <c r="M133" s="154"/>
      <c r="T133" s="57"/>
      <c r="AT133" s="18" t="s">
        <v>193</v>
      </c>
      <c r="AU133" s="18" t="s">
        <v>20</v>
      </c>
    </row>
    <row r="134" spans="2:65" s="12" customFormat="1" ht="11.25" x14ac:dyDescent="0.3">
      <c r="B134" s="155"/>
      <c r="D134" s="156" t="s">
        <v>195</v>
      </c>
      <c r="E134" s="157" t="s">
        <v>1</v>
      </c>
      <c r="F134" s="158" t="s">
        <v>1493</v>
      </c>
      <c r="H134" s="159">
        <v>50.53</v>
      </c>
      <c r="I134" s="160"/>
      <c r="L134" s="155"/>
      <c r="M134" s="161"/>
      <c r="T134" s="162"/>
      <c r="AT134" s="157" t="s">
        <v>195</v>
      </c>
      <c r="AU134" s="157" t="s">
        <v>20</v>
      </c>
      <c r="AV134" s="12" t="s">
        <v>20</v>
      </c>
      <c r="AW134" s="12" t="s">
        <v>37</v>
      </c>
      <c r="AX134" s="12" t="s">
        <v>88</v>
      </c>
      <c r="AY134" s="157" t="s">
        <v>184</v>
      </c>
    </row>
    <row r="135" spans="2:65" s="1" customFormat="1" ht="16.5" customHeight="1" x14ac:dyDescent="0.3">
      <c r="B135" s="33"/>
      <c r="C135" s="172" t="s">
        <v>276</v>
      </c>
      <c r="D135" s="172" t="s">
        <v>271</v>
      </c>
      <c r="E135" s="173" t="s">
        <v>288</v>
      </c>
      <c r="F135" s="174" t="s">
        <v>289</v>
      </c>
      <c r="G135" s="175" t="s">
        <v>189</v>
      </c>
      <c r="H135" s="176">
        <v>44.63</v>
      </c>
      <c r="I135" s="177">
        <v>363.8</v>
      </c>
      <c r="J135" s="178">
        <f>ROUND(I135*H135,2)</f>
        <v>16236.39</v>
      </c>
      <c r="K135" s="174" t="s">
        <v>190</v>
      </c>
      <c r="L135" s="179"/>
      <c r="M135" s="180" t="s">
        <v>1</v>
      </c>
      <c r="N135" s="181" t="s">
        <v>47</v>
      </c>
      <c r="O135" s="147">
        <v>0</v>
      </c>
      <c r="P135" s="147">
        <f>O135*H135</f>
        <v>0</v>
      </c>
      <c r="Q135" s="147">
        <v>0.13100000000000001</v>
      </c>
      <c r="R135" s="147">
        <f>Q135*H135</f>
        <v>5.8465300000000004</v>
      </c>
      <c r="S135" s="147">
        <v>0</v>
      </c>
      <c r="T135" s="148">
        <f>S135*H135</f>
        <v>0</v>
      </c>
      <c r="AR135" s="149" t="s">
        <v>239</v>
      </c>
      <c r="AT135" s="149" t="s">
        <v>271</v>
      </c>
      <c r="AU135" s="149" t="s">
        <v>20</v>
      </c>
      <c r="AY135" s="18" t="s">
        <v>184</v>
      </c>
      <c r="BE135" s="150">
        <f>IF(N135="základní",J135,0)</f>
        <v>16236.39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8" t="s">
        <v>88</v>
      </c>
      <c r="BK135" s="150">
        <f>ROUND(I135*H135,2)</f>
        <v>16236.39</v>
      </c>
      <c r="BL135" s="18" t="s">
        <v>191</v>
      </c>
      <c r="BM135" s="149" t="s">
        <v>1494</v>
      </c>
    </row>
    <row r="136" spans="2:65" s="12" customFormat="1" ht="11.25" x14ac:dyDescent="0.3">
      <c r="B136" s="155"/>
      <c r="D136" s="156" t="s">
        <v>195</v>
      </c>
      <c r="E136" s="157" t="s">
        <v>1</v>
      </c>
      <c r="F136" s="158" t="s">
        <v>1495</v>
      </c>
      <c r="H136" s="159">
        <v>43.33</v>
      </c>
      <c r="I136" s="160"/>
      <c r="L136" s="155"/>
      <c r="M136" s="161"/>
      <c r="T136" s="162"/>
      <c r="AT136" s="157" t="s">
        <v>195</v>
      </c>
      <c r="AU136" s="157" t="s">
        <v>20</v>
      </c>
      <c r="AV136" s="12" t="s">
        <v>20</v>
      </c>
      <c r="AW136" s="12" t="s">
        <v>37</v>
      </c>
      <c r="AX136" s="12" t="s">
        <v>81</v>
      </c>
      <c r="AY136" s="157" t="s">
        <v>184</v>
      </c>
    </row>
    <row r="137" spans="2:65" s="12" customFormat="1" ht="11.25" x14ac:dyDescent="0.3">
      <c r="B137" s="155"/>
      <c r="D137" s="156" t="s">
        <v>195</v>
      </c>
      <c r="E137" s="157" t="s">
        <v>1</v>
      </c>
      <c r="F137" s="158" t="s">
        <v>1496</v>
      </c>
      <c r="H137" s="159">
        <v>44.63</v>
      </c>
      <c r="I137" s="160"/>
      <c r="L137" s="155"/>
      <c r="M137" s="161"/>
      <c r="T137" s="162"/>
      <c r="AT137" s="157" t="s">
        <v>195</v>
      </c>
      <c r="AU137" s="157" t="s">
        <v>20</v>
      </c>
      <c r="AV137" s="12" t="s">
        <v>20</v>
      </c>
      <c r="AW137" s="12" t="s">
        <v>37</v>
      </c>
      <c r="AX137" s="12" t="s">
        <v>88</v>
      </c>
      <c r="AY137" s="157" t="s">
        <v>184</v>
      </c>
    </row>
    <row r="138" spans="2:65" s="1" customFormat="1" ht="16.5" customHeight="1" x14ac:dyDescent="0.3">
      <c r="B138" s="33"/>
      <c r="C138" s="172" t="s">
        <v>7</v>
      </c>
      <c r="D138" s="172" t="s">
        <v>271</v>
      </c>
      <c r="E138" s="173" t="s">
        <v>294</v>
      </c>
      <c r="F138" s="174" t="s">
        <v>295</v>
      </c>
      <c r="G138" s="175" t="s">
        <v>189</v>
      </c>
      <c r="H138" s="176">
        <v>7.4470000000000001</v>
      </c>
      <c r="I138" s="177">
        <v>613.01</v>
      </c>
      <c r="J138" s="178">
        <f>ROUND(I138*H138,2)</f>
        <v>4565.09</v>
      </c>
      <c r="K138" s="174" t="s">
        <v>190</v>
      </c>
      <c r="L138" s="179"/>
      <c r="M138" s="180" t="s">
        <v>1</v>
      </c>
      <c r="N138" s="181" t="s">
        <v>47</v>
      </c>
      <c r="O138" s="147">
        <v>0</v>
      </c>
      <c r="P138" s="147">
        <f>O138*H138</f>
        <v>0</v>
      </c>
      <c r="Q138" s="147">
        <v>0.13100000000000001</v>
      </c>
      <c r="R138" s="147">
        <f>Q138*H138</f>
        <v>0.97555700000000001</v>
      </c>
      <c r="S138" s="147">
        <v>0</v>
      </c>
      <c r="T138" s="148">
        <f>S138*H138</f>
        <v>0</v>
      </c>
      <c r="AR138" s="149" t="s">
        <v>239</v>
      </c>
      <c r="AT138" s="149" t="s">
        <v>271</v>
      </c>
      <c r="AU138" s="149" t="s">
        <v>20</v>
      </c>
      <c r="AY138" s="18" t="s">
        <v>184</v>
      </c>
      <c r="BE138" s="150">
        <f>IF(N138="základní",J138,0)</f>
        <v>4565.09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8" t="s">
        <v>88</v>
      </c>
      <c r="BK138" s="150">
        <f>ROUND(I138*H138,2)</f>
        <v>4565.09</v>
      </c>
      <c r="BL138" s="18" t="s">
        <v>191</v>
      </c>
      <c r="BM138" s="149" t="s">
        <v>1497</v>
      </c>
    </row>
    <row r="139" spans="2:65" s="12" customFormat="1" ht="11.25" x14ac:dyDescent="0.3">
      <c r="B139" s="155"/>
      <c r="D139" s="156" t="s">
        <v>195</v>
      </c>
      <c r="E139" s="157" t="s">
        <v>1</v>
      </c>
      <c r="F139" s="158" t="s">
        <v>1498</v>
      </c>
      <c r="H139" s="159">
        <v>7.23</v>
      </c>
      <c r="I139" s="160"/>
      <c r="L139" s="155"/>
      <c r="M139" s="161"/>
      <c r="T139" s="162"/>
      <c r="AT139" s="157" t="s">
        <v>195</v>
      </c>
      <c r="AU139" s="157" t="s">
        <v>20</v>
      </c>
      <c r="AV139" s="12" t="s">
        <v>20</v>
      </c>
      <c r="AW139" s="12" t="s">
        <v>37</v>
      </c>
      <c r="AX139" s="12" t="s">
        <v>81</v>
      </c>
      <c r="AY139" s="157" t="s">
        <v>184</v>
      </c>
    </row>
    <row r="140" spans="2:65" s="12" customFormat="1" ht="11.25" x14ac:dyDescent="0.3">
      <c r="B140" s="155"/>
      <c r="D140" s="156" t="s">
        <v>195</v>
      </c>
      <c r="E140" s="157" t="s">
        <v>1</v>
      </c>
      <c r="F140" s="158" t="s">
        <v>1499</v>
      </c>
      <c r="H140" s="159">
        <v>7.4470000000000001</v>
      </c>
      <c r="I140" s="160"/>
      <c r="L140" s="155"/>
      <c r="M140" s="161"/>
      <c r="T140" s="162"/>
      <c r="AT140" s="157" t="s">
        <v>195</v>
      </c>
      <c r="AU140" s="157" t="s">
        <v>20</v>
      </c>
      <c r="AV140" s="12" t="s">
        <v>20</v>
      </c>
      <c r="AW140" s="12" t="s">
        <v>37</v>
      </c>
      <c r="AX140" s="12" t="s">
        <v>88</v>
      </c>
      <c r="AY140" s="157" t="s">
        <v>184</v>
      </c>
    </row>
    <row r="141" spans="2:65" s="1" customFormat="1" ht="44.25" customHeight="1" x14ac:dyDescent="0.3">
      <c r="B141" s="33"/>
      <c r="C141" s="138" t="s">
        <v>287</v>
      </c>
      <c r="D141" s="138" t="s">
        <v>186</v>
      </c>
      <c r="E141" s="139" t="s">
        <v>300</v>
      </c>
      <c r="F141" s="140" t="s">
        <v>1500</v>
      </c>
      <c r="G141" s="141" t="s">
        <v>189</v>
      </c>
      <c r="H141" s="142">
        <v>8</v>
      </c>
      <c r="I141" s="143">
        <v>674.86</v>
      </c>
      <c r="J141" s="144">
        <f>ROUND(I141*H141,2)</f>
        <v>5398.88</v>
      </c>
      <c r="K141" s="140" t="s">
        <v>190</v>
      </c>
      <c r="L141" s="33"/>
      <c r="M141" s="145" t="s">
        <v>1</v>
      </c>
      <c r="N141" s="146" t="s">
        <v>47</v>
      </c>
      <c r="O141" s="147">
        <v>0.06</v>
      </c>
      <c r="P141" s="147">
        <f>O141*H141</f>
        <v>0.48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191</v>
      </c>
      <c r="AT141" s="149" t="s">
        <v>186</v>
      </c>
      <c r="AU141" s="149" t="s">
        <v>20</v>
      </c>
      <c r="AY141" s="18" t="s">
        <v>184</v>
      </c>
      <c r="BE141" s="150">
        <f>IF(N141="základní",J141,0)</f>
        <v>5398.88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8" t="s">
        <v>88</v>
      </c>
      <c r="BK141" s="150">
        <f>ROUND(I141*H141,2)</f>
        <v>5398.88</v>
      </c>
      <c r="BL141" s="18" t="s">
        <v>191</v>
      </c>
      <c r="BM141" s="149" t="s">
        <v>1501</v>
      </c>
    </row>
    <row r="142" spans="2:65" s="1" customFormat="1" x14ac:dyDescent="0.3">
      <c r="B142" s="33"/>
      <c r="D142" s="151" t="s">
        <v>193</v>
      </c>
      <c r="F142" s="152" t="s">
        <v>303</v>
      </c>
      <c r="I142" s="153"/>
      <c r="L142" s="33"/>
      <c r="M142" s="154"/>
      <c r="T142" s="57"/>
      <c r="AT142" s="18" t="s">
        <v>193</v>
      </c>
      <c r="AU142" s="18" t="s">
        <v>20</v>
      </c>
    </row>
    <row r="143" spans="2:65" s="11" customFormat="1" ht="22.9" customHeight="1" x14ac:dyDescent="0.2">
      <c r="B143" s="127"/>
      <c r="D143" s="128" t="s">
        <v>80</v>
      </c>
      <c r="E143" s="136" t="s">
        <v>245</v>
      </c>
      <c r="F143" s="136" t="s">
        <v>304</v>
      </c>
      <c r="I143" s="171"/>
      <c r="J143" s="137">
        <f>BK143</f>
        <v>48540.58</v>
      </c>
      <c r="L143" s="127"/>
      <c r="M143" s="131"/>
      <c r="P143" s="132">
        <f>SUM(P144:P152)</f>
        <v>13.384</v>
      </c>
      <c r="R143" s="132">
        <f>SUM(R144:R152)</f>
        <v>9.8324050000000014</v>
      </c>
      <c r="T143" s="133">
        <f>SUM(T144:T152)</f>
        <v>0</v>
      </c>
      <c r="AR143" s="128" t="s">
        <v>88</v>
      </c>
      <c r="AT143" s="134" t="s">
        <v>80</v>
      </c>
      <c r="AU143" s="134" t="s">
        <v>88</v>
      </c>
      <c r="AY143" s="128" t="s">
        <v>184</v>
      </c>
      <c r="BK143" s="135">
        <f>SUM(BK144:BK152)</f>
        <v>48540.58</v>
      </c>
    </row>
    <row r="144" spans="2:65" s="1" customFormat="1" ht="24.2" customHeight="1" x14ac:dyDescent="0.3">
      <c r="B144" s="33"/>
      <c r="C144" s="138" t="s">
        <v>293</v>
      </c>
      <c r="D144" s="138" t="s">
        <v>186</v>
      </c>
      <c r="E144" s="139" t="s">
        <v>335</v>
      </c>
      <c r="F144" s="140" t="s">
        <v>1502</v>
      </c>
      <c r="G144" s="141" t="s">
        <v>210</v>
      </c>
      <c r="H144" s="142">
        <v>56</v>
      </c>
      <c r="I144" s="143">
        <v>690.56</v>
      </c>
      <c r="J144" s="144">
        <f>ROUND(I144*H144,2)</f>
        <v>38671.360000000001</v>
      </c>
      <c r="K144" s="140" t="s">
        <v>190</v>
      </c>
      <c r="L144" s="33"/>
      <c r="M144" s="145" t="s">
        <v>1</v>
      </c>
      <c r="N144" s="146" t="s">
        <v>47</v>
      </c>
      <c r="O144" s="147">
        <v>0.23899999999999999</v>
      </c>
      <c r="P144" s="147">
        <f>O144*H144</f>
        <v>13.384</v>
      </c>
      <c r="Q144" s="147">
        <v>0.1295</v>
      </c>
      <c r="R144" s="147">
        <f>Q144*H144</f>
        <v>7.2520000000000007</v>
      </c>
      <c r="S144" s="147">
        <v>0</v>
      </c>
      <c r="T144" s="148">
        <f>S144*H144</f>
        <v>0</v>
      </c>
      <c r="AR144" s="149" t="s">
        <v>191</v>
      </c>
      <c r="AT144" s="149" t="s">
        <v>186</v>
      </c>
      <c r="AU144" s="149" t="s">
        <v>20</v>
      </c>
      <c r="AY144" s="18" t="s">
        <v>184</v>
      </c>
      <c r="BE144" s="150">
        <f>IF(N144="základní",J144,0)</f>
        <v>38671.360000000001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8" t="s">
        <v>88</v>
      </c>
      <c r="BK144" s="150">
        <f>ROUND(I144*H144,2)</f>
        <v>38671.360000000001</v>
      </c>
      <c r="BL144" s="18" t="s">
        <v>191</v>
      </c>
      <c r="BM144" s="149" t="s">
        <v>1503</v>
      </c>
    </row>
    <row r="145" spans="2:65" s="1" customFormat="1" x14ac:dyDescent="0.3">
      <c r="B145" s="33"/>
      <c r="D145" s="151" t="s">
        <v>193</v>
      </c>
      <c r="F145" s="152" t="s">
        <v>338</v>
      </c>
      <c r="I145" s="153"/>
      <c r="L145" s="33"/>
      <c r="M145" s="154"/>
      <c r="T145" s="57"/>
      <c r="AT145" s="18" t="s">
        <v>193</v>
      </c>
      <c r="AU145" s="18" t="s">
        <v>20</v>
      </c>
    </row>
    <row r="146" spans="2:65" s="12" customFormat="1" ht="11.25" x14ac:dyDescent="0.3">
      <c r="B146" s="155"/>
      <c r="D146" s="156" t="s">
        <v>195</v>
      </c>
      <c r="E146" s="157" t="s">
        <v>1</v>
      </c>
      <c r="F146" s="158" t="s">
        <v>1504</v>
      </c>
      <c r="H146" s="159">
        <v>56</v>
      </c>
      <c r="I146" s="160"/>
      <c r="L146" s="155"/>
      <c r="M146" s="161"/>
      <c r="T146" s="162"/>
      <c r="AT146" s="157" t="s">
        <v>195</v>
      </c>
      <c r="AU146" s="157" t="s">
        <v>20</v>
      </c>
      <c r="AV146" s="12" t="s">
        <v>20</v>
      </c>
      <c r="AW146" s="12" t="s">
        <v>37</v>
      </c>
      <c r="AX146" s="12" t="s">
        <v>88</v>
      </c>
      <c r="AY146" s="157" t="s">
        <v>184</v>
      </c>
    </row>
    <row r="147" spans="2:65" s="1" customFormat="1" ht="16.5" customHeight="1" x14ac:dyDescent="0.3">
      <c r="B147" s="33"/>
      <c r="C147" s="172" t="s">
        <v>299</v>
      </c>
      <c r="D147" s="172" t="s">
        <v>271</v>
      </c>
      <c r="E147" s="173" t="s">
        <v>341</v>
      </c>
      <c r="F147" s="174" t="s">
        <v>342</v>
      </c>
      <c r="G147" s="175" t="s">
        <v>210</v>
      </c>
      <c r="H147" s="176">
        <v>53.784999999999997</v>
      </c>
      <c r="I147" s="177">
        <v>174.1</v>
      </c>
      <c r="J147" s="178">
        <f>ROUND(I147*H147,2)</f>
        <v>9363.9699999999993</v>
      </c>
      <c r="K147" s="174" t="s">
        <v>190</v>
      </c>
      <c r="L147" s="179"/>
      <c r="M147" s="180" t="s">
        <v>1</v>
      </c>
      <c r="N147" s="181" t="s">
        <v>47</v>
      </c>
      <c r="O147" s="147">
        <v>0</v>
      </c>
      <c r="P147" s="147">
        <f>O147*H147</f>
        <v>0</v>
      </c>
      <c r="Q147" s="147">
        <v>4.4999999999999998E-2</v>
      </c>
      <c r="R147" s="147">
        <f>Q147*H147</f>
        <v>2.4203249999999996</v>
      </c>
      <c r="S147" s="147">
        <v>0</v>
      </c>
      <c r="T147" s="148">
        <f>S147*H147</f>
        <v>0</v>
      </c>
      <c r="AR147" s="149" t="s">
        <v>239</v>
      </c>
      <c r="AT147" s="149" t="s">
        <v>271</v>
      </c>
      <c r="AU147" s="149" t="s">
        <v>20</v>
      </c>
      <c r="AY147" s="18" t="s">
        <v>184</v>
      </c>
      <c r="BE147" s="150">
        <f>IF(N147="základní",J147,0)</f>
        <v>9363.9699999999993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8" t="s">
        <v>88</v>
      </c>
      <c r="BK147" s="150">
        <f>ROUND(I147*H147,2)</f>
        <v>9363.9699999999993</v>
      </c>
      <c r="BL147" s="18" t="s">
        <v>191</v>
      </c>
      <c r="BM147" s="149" t="s">
        <v>1505</v>
      </c>
    </row>
    <row r="148" spans="2:65" s="12" customFormat="1" ht="11.25" x14ac:dyDescent="0.3">
      <c r="B148" s="155"/>
      <c r="D148" s="156" t="s">
        <v>195</v>
      </c>
      <c r="E148" s="157" t="s">
        <v>1</v>
      </c>
      <c r="F148" s="158" t="s">
        <v>1506</v>
      </c>
      <c r="H148" s="159">
        <v>52.73</v>
      </c>
      <c r="I148" s="160"/>
      <c r="L148" s="155"/>
      <c r="M148" s="161"/>
      <c r="T148" s="162"/>
      <c r="AT148" s="157" t="s">
        <v>195</v>
      </c>
      <c r="AU148" s="157" t="s">
        <v>20</v>
      </c>
      <c r="AV148" s="12" t="s">
        <v>20</v>
      </c>
      <c r="AW148" s="12" t="s">
        <v>37</v>
      </c>
      <c r="AX148" s="12" t="s">
        <v>81</v>
      </c>
      <c r="AY148" s="157" t="s">
        <v>184</v>
      </c>
    </row>
    <row r="149" spans="2:65" s="12" customFormat="1" ht="11.25" x14ac:dyDescent="0.3">
      <c r="B149" s="155"/>
      <c r="D149" s="156" t="s">
        <v>195</v>
      </c>
      <c r="E149" s="157" t="s">
        <v>1</v>
      </c>
      <c r="F149" s="158" t="s">
        <v>1507</v>
      </c>
      <c r="H149" s="159">
        <v>53.784999999999997</v>
      </c>
      <c r="I149" s="160"/>
      <c r="L149" s="155"/>
      <c r="M149" s="161"/>
      <c r="T149" s="162"/>
      <c r="AT149" s="157" t="s">
        <v>195</v>
      </c>
      <c r="AU149" s="157" t="s">
        <v>20</v>
      </c>
      <c r="AV149" s="12" t="s">
        <v>20</v>
      </c>
      <c r="AW149" s="12" t="s">
        <v>37</v>
      </c>
      <c r="AX149" s="12" t="s">
        <v>88</v>
      </c>
      <c r="AY149" s="157" t="s">
        <v>184</v>
      </c>
    </row>
    <row r="150" spans="2:65" s="1" customFormat="1" ht="16.5" customHeight="1" x14ac:dyDescent="0.3">
      <c r="B150" s="33"/>
      <c r="C150" s="172" t="s">
        <v>305</v>
      </c>
      <c r="D150" s="172" t="s">
        <v>271</v>
      </c>
      <c r="E150" s="173" t="s">
        <v>347</v>
      </c>
      <c r="F150" s="174" t="s">
        <v>348</v>
      </c>
      <c r="G150" s="175" t="s">
        <v>210</v>
      </c>
      <c r="H150" s="176">
        <v>3.335</v>
      </c>
      <c r="I150" s="177">
        <v>151.5</v>
      </c>
      <c r="J150" s="178">
        <f>ROUND(I150*H150,2)</f>
        <v>505.25</v>
      </c>
      <c r="K150" s="174" t="s">
        <v>190</v>
      </c>
      <c r="L150" s="179"/>
      <c r="M150" s="180" t="s">
        <v>1</v>
      </c>
      <c r="N150" s="181" t="s">
        <v>47</v>
      </c>
      <c r="O150" s="147">
        <v>0</v>
      </c>
      <c r="P150" s="147">
        <f>O150*H150</f>
        <v>0</v>
      </c>
      <c r="Q150" s="147">
        <v>4.8000000000000001E-2</v>
      </c>
      <c r="R150" s="147">
        <f>Q150*H150</f>
        <v>0.16008</v>
      </c>
      <c r="S150" s="147">
        <v>0</v>
      </c>
      <c r="T150" s="148">
        <f>S150*H150</f>
        <v>0</v>
      </c>
      <c r="AR150" s="149" t="s">
        <v>239</v>
      </c>
      <c r="AT150" s="149" t="s">
        <v>271</v>
      </c>
      <c r="AU150" s="149" t="s">
        <v>20</v>
      </c>
      <c r="AY150" s="18" t="s">
        <v>184</v>
      </c>
      <c r="BE150" s="150">
        <f>IF(N150="základní",J150,0)</f>
        <v>505.25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8" t="s">
        <v>88</v>
      </c>
      <c r="BK150" s="150">
        <f>ROUND(I150*H150,2)</f>
        <v>505.25</v>
      </c>
      <c r="BL150" s="18" t="s">
        <v>191</v>
      </c>
      <c r="BM150" s="149" t="s">
        <v>1508</v>
      </c>
    </row>
    <row r="151" spans="2:65" s="12" customFormat="1" ht="11.25" x14ac:dyDescent="0.3">
      <c r="B151" s="155"/>
      <c r="D151" s="156" t="s">
        <v>195</v>
      </c>
      <c r="E151" s="157" t="s">
        <v>1</v>
      </c>
      <c r="F151" s="158" t="s">
        <v>1509</v>
      </c>
      <c r="H151" s="159">
        <v>3.27</v>
      </c>
      <c r="I151" s="160"/>
      <c r="L151" s="155"/>
      <c r="M151" s="161"/>
      <c r="T151" s="162"/>
      <c r="AT151" s="157" t="s">
        <v>195</v>
      </c>
      <c r="AU151" s="157" t="s">
        <v>20</v>
      </c>
      <c r="AV151" s="12" t="s">
        <v>20</v>
      </c>
      <c r="AW151" s="12" t="s">
        <v>37</v>
      </c>
      <c r="AX151" s="12" t="s">
        <v>81</v>
      </c>
      <c r="AY151" s="157" t="s">
        <v>184</v>
      </c>
    </row>
    <row r="152" spans="2:65" s="12" customFormat="1" ht="11.25" x14ac:dyDescent="0.3">
      <c r="B152" s="155"/>
      <c r="D152" s="156" t="s">
        <v>195</v>
      </c>
      <c r="E152" s="157" t="s">
        <v>1</v>
      </c>
      <c r="F152" s="158" t="s">
        <v>1510</v>
      </c>
      <c r="H152" s="159">
        <v>3.335</v>
      </c>
      <c r="I152" s="160"/>
      <c r="L152" s="155"/>
      <c r="M152" s="161"/>
      <c r="T152" s="162"/>
      <c r="AT152" s="157" t="s">
        <v>195</v>
      </c>
      <c r="AU152" s="157" t="s">
        <v>20</v>
      </c>
      <c r="AV152" s="12" t="s">
        <v>20</v>
      </c>
      <c r="AW152" s="12" t="s">
        <v>37</v>
      </c>
      <c r="AX152" s="12" t="s">
        <v>88</v>
      </c>
      <c r="AY152" s="157" t="s">
        <v>184</v>
      </c>
    </row>
    <row r="153" spans="2:65" s="11" customFormat="1" ht="22.9" customHeight="1" x14ac:dyDescent="0.2">
      <c r="B153" s="127"/>
      <c r="D153" s="128" t="s">
        <v>80</v>
      </c>
      <c r="E153" s="136" t="s">
        <v>374</v>
      </c>
      <c r="F153" s="136" t="s">
        <v>375</v>
      </c>
      <c r="I153" s="171"/>
      <c r="J153" s="137">
        <f>BK153</f>
        <v>16411.599999999999</v>
      </c>
      <c r="L153" s="127"/>
      <c r="M153" s="131"/>
      <c r="P153" s="132">
        <f>SUM(P154:P155)</f>
        <v>21.331207000000003</v>
      </c>
      <c r="R153" s="132">
        <f>SUM(R154:R155)</f>
        <v>0</v>
      </c>
      <c r="T153" s="133">
        <f>SUM(T154:T155)</f>
        <v>0</v>
      </c>
      <c r="AR153" s="128" t="s">
        <v>88</v>
      </c>
      <c r="AT153" s="134" t="s">
        <v>80</v>
      </c>
      <c r="AU153" s="134" t="s">
        <v>88</v>
      </c>
      <c r="AY153" s="128" t="s">
        <v>184</v>
      </c>
      <c r="BK153" s="135">
        <f>SUM(BK154:BK155)</f>
        <v>16411.599999999999</v>
      </c>
    </row>
    <row r="154" spans="2:65" s="1" customFormat="1" ht="24.2" customHeight="1" x14ac:dyDescent="0.3">
      <c r="B154" s="33"/>
      <c r="C154" s="138" t="s">
        <v>311</v>
      </c>
      <c r="D154" s="138" t="s">
        <v>186</v>
      </c>
      <c r="E154" s="139" t="s">
        <v>377</v>
      </c>
      <c r="F154" s="140" t="s">
        <v>1511</v>
      </c>
      <c r="G154" s="141" t="s">
        <v>248</v>
      </c>
      <c r="H154" s="142">
        <v>53.731000000000002</v>
      </c>
      <c r="I154" s="143">
        <v>305.44</v>
      </c>
      <c r="J154" s="144">
        <f>ROUND(I154*H154,2)</f>
        <v>16411.599999999999</v>
      </c>
      <c r="K154" s="140" t="s">
        <v>190</v>
      </c>
      <c r="L154" s="33"/>
      <c r="M154" s="145" t="s">
        <v>1</v>
      </c>
      <c r="N154" s="146" t="s">
        <v>47</v>
      </c>
      <c r="O154" s="147">
        <v>0.39700000000000002</v>
      </c>
      <c r="P154" s="147">
        <f>O154*H154</f>
        <v>21.331207000000003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49" t="s">
        <v>191</v>
      </c>
      <c r="AT154" s="149" t="s">
        <v>186</v>
      </c>
      <c r="AU154" s="149" t="s">
        <v>20</v>
      </c>
      <c r="AY154" s="18" t="s">
        <v>184</v>
      </c>
      <c r="BE154" s="150">
        <f>IF(N154="základní",J154,0)</f>
        <v>16411.599999999999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88</v>
      </c>
      <c r="BK154" s="150">
        <f>ROUND(I154*H154,2)</f>
        <v>16411.599999999999</v>
      </c>
      <c r="BL154" s="18" t="s">
        <v>191</v>
      </c>
      <c r="BM154" s="149" t="s">
        <v>1512</v>
      </c>
    </row>
    <row r="155" spans="2:65" s="1" customFormat="1" x14ac:dyDescent="0.3">
      <c r="B155" s="33"/>
      <c r="D155" s="151" t="s">
        <v>193</v>
      </c>
      <c r="F155" s="152" t="s">
        <v>380</v>
      </c>
      <c r="I155" s="153"/>
      <c r="L155" s="33"/>
      <c r="M155" s="189"/>
      <c r="N155" s="190"/>
      <c r="O155" s="190"/>
      <c r="P155" s="190"/>
      <c r="Q155" s="190"/>
      <c r="R155" s="190"/>
      <c r="S155" s="190"/>
      <c r="T155" s="191"/>
      <c r="AT155" s="18" t="s">
        <v>193</v>
      </c>
      <c r="AU155" s="18" t="s">
        <v>20</v>
      </c>
    </row>
    <row r="156" spans="2:65" s="1" customFormat="1" ht="6.95" customHeight="1" x14ac:dyDescent="0.3">
      <c r="B156" s="45"/>
      <c r="C156" s="46"/>
      <c r="D156" s="46"/>
      <c r="E156" s="46"/>
      <c r="F156" s="46"/>
      <c r="G156" s="46"/>
      <c r="H156" s="46"/>
      <c r="I156" s="188"/>
      <c r="J156" s="46"/>
      <c r="K156" s="46"/>
      <c r="L156" s="33"/>
    </row>
  </sheetData>
  <sheetProtection sheet="1" objects="1" scenarios="1"/>
  <autoFilter ref="C123:K236" xr:uid="{BEB0B41F-7738-4654-B9DF-819ACBE785EA}"/>
  <mergeCells count="8">
    <mergeCell ref="E74:H74"/>
    <mergeCell ref="E76:H76"/>
    <mergeCell ref="L2:V2"/>
    <mergeCell ref="E7:H7"/>
    <mergeCell ref="E9:H9"/>
    <mergeCell ref="E27:H27"/>
    <mergeCell ref="E48:H48"/>
    <mergeCell ref="E50:H50"/>
  </mergeCells>
  <hyperlinks>
    <hyperlink ref="F88" r:id="rId1" xr:uid="{8C76AC6D-4D3B-44DA-94DD-A0FB2C5A28CB}"/>
    <hyperlink ref="F91" r:id="rId2" xr:uid="{47F40D47-7028-499E-968C-61F6257373DF}"/>
    <hyperlink ref="F96" r:id="rId3" xr:uid="{AA3EA581-41E7-46B5-8082-F60EFF0A3F3E}"/>
    <hyperlink ref="F104" r:id="rId4" xr:uid="{5B5976BD-44AB-4FE8-BFA3-6B1C6C4CCDCC}"/>
    <hyperlink ref="F107" r:id="rId5" xr:uid="{437A5067-F023-4381-B510-BDCD3C7161B3}"/>
    <hyperlink ref="F110" r:id="rId6" xr:uid="{1F117414-DBAD-474B-B0F5-8AC3020CB8FE}"/>
    <hyperlink ref="F114" r:id="rId7" xr:uid="{82ACD99B-ADB6-4FF4-90DC-CF6FA29F2115}"/>
    <hyperlink ref="F117" r:id="rId8" xr:uid="{0F1B80B0-40E2-4D60-931B-DBC8A1C904D0}"/>
    <hyperlink ref="F119" r:id="rId9" xr:uid="{50B7F68E-6ADB-4564-AE2D-AB6B420328EF}"/>
    <hyperlink ref="F124" r:id="rId10" xr:uid="{B26DF5A1-9575-483B-B6D3-17E529E19C63}"/>
    <hyperlink ref="F130" r:id="rId11" xr:uid="{B6E3A388-999B-43E6-A92F-92EB374AEF34}"/>
    <hyperlink ref="F133" r:id="rId12" xr:uid="{45805238-B88D-4F29-939F-353859E31B4B}"/>
    <hyperlink ref="F142" r:id="rId13" xr:uid="{EBCBBBC8-6511-4B77-AB89-F1AE6BFF89BD}"/>
    <hyperlink ref="F145" r:id="rId14" xr:uid="{C8F5DC53-520A-4D5F-BCB7-4F55195D4C44}"/>
    <hyperlink ref="F155" r:id="rId15" xr:uid="{7C8AD75E-1656-4F3B-940D-3F6E71104173}"/>
  </hyperlinks>
  <pageMargins left="0.39375001192092896" right="0.39375001192092896" top="0.39375001192092896" bottom="0.39375001192092896" header="0" footer="0"/>
  <pageSetup paperSize="9" fitToHeight="100" orientation="landscape" blackAndWhite="1" errors="blank" r:id="rId16"/>
  <headerFooter>
    <oddFooter>&amp;CStrana &amp;P z &amp;N</oddFooter>
  </headerFooter>
  <drawing r:id="rId1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F0A3B-2EE5-4D39-9834-DC156FCD88C0}">
  <sheetPr>
    <tabColor indexed="23"/>
    <pageSetUpPr fitToPage="1"/>
  </sheetPr>
  <dimension ref="B2:BM190"/>
  <sheetViews>
    <sheetView showGridLines="0" zoomScaleNormal="100" workbookViewId="0">
      <selection activeCell="I121" sqref="I121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120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1513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ROUND(J88, 2)</f>
        <v>1711101.78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ROUND((SUM(BE88:BE189)),  2)</f>
        <v>1711101.78</v>
      </c>
      <c r="I33" s="99">
        <v>0.21</v>
      </c>
      <c r="J33" s="98">
        <f>ROUND(((SUM(BE88:BE189))*I33),  2)</f>
        <v>359331.37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ROUND((SUM(BF88:BF189)),  2)</f>
        <v>0</v>
      </c>
      <c r="I34" s="99">
        <v>0.15</v>
      </c>
      <c r="J34" s="98">
        <f>ROUND(((SUM(BF88:BF189))*I34),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ROUND((SUM(BG88:BG189)),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ROUND((SUM(BH88:BH189)),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ROUND((SUM(BI88:BI189)),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2070433.15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102.II - Stavební úprava chodníku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J88</f>
        <v>1711101.78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J89</f>
        <v>1702539.35</v>
      </c>
      <c r="L60" s="111"/>
    </row>
    <row r="61" spans="2:47" s="9" customFormat="1" ht="19.899999999999999" customHeight="1" x14ac:dyDescent="0.3">
      <c r="B61" s="115"/>
      <c r="D61" s="116" t="s">
        <v>161</v>
      </c>
      <c r="E61" s="117"/>
      <c r="F61" s="117"/>
      <c r="G61" s="117"/>
      <c r="H61" s="117"/>
      <c r="I61" s="117"/>
      <c r="J61" s="118">
        <f>J90</f>
        <v>403558.54000000004</v>
      </c>
      <c r="L61" s="115"/>
    </row>
    <row r="62" spans="2:47" s="9" customFormat="1" ht="19.899999999999999" customHeight="1" x14ac:dyDescent="0.3">
      <c r="B62" s="115"/>
      <c r="D62" s="116" t="s">
        <v>1514</v>
      </c>
      <c r="E62" s="117"/>
      <c r="F62" s="117"/>
      <c r="G62" s="117"/>
      <c r="H62" s="117"/>
      <c r="I62" s="117"/>
      <c r="J62" s="118">
        <f>J127</f>
        <v>6613.34</v>
      </c>
      <c r="L62" s="115"/>
    </row>
    <row r="63" spans="2:47" s="9" customFormat="1" ht="19.899999999999999" customHeight="1" x14ac:dyDescent="0.3">
      <c r="B63" s="115"/>
      <c r="D63" s="116" t="s">
        <v>162</v>
      </c>
      <c r="E63" s="117"/>
      <c r="F63" s="117"/>
      <c r="G63" s="117"/>
      <c r="H63" s="117"/>
      <c r="I63" s="117"/>
      <c r="J63" s="118">
        <f>J131</f>
        <v>842109.85000000009</v>
      </c>
      <c r="L63" s="115"/>
    </row>
    <row r="64" spans="2:47" s="9" customFormat="1" ht="19.899999999999999" customHeight="1" x14ac:dyDescent="0.3">
      <c r="B64" s="115"/>
      <c r="D64" s="116" t="s">
        <v>163</v>
      </c>
      <c r="E64" s="117"/>
      <c r="F64" s="117"/>
      <c r="G64" s="117"/>
      <c r="H64" s="117"/>
      <c r="I64" s="117"/>
      <c r="J64" s="118">
        <f>J155</f>
        <v>160229.25</v>
      </c>
      <c r="L64" s="115"/>
    </row>
    <row r="65" spans="2:12" s="9" customFormat="1" ht="19.899999999999999" customHeight="1" x14ac:dyDescent="0.3">
      <c r="B65" s="115"/>
      <c r="D65" s="116" t="s">
        <v>164</v>
      </c>
      <c r="E65" s="117"/>
      <c r="F65" s="117"/>
      <c r="G65" s="117"/>
      <c r="H65" s="117"/>
      <c r="I65" s="117"/>
      <c r="J65" s="118">
        <f>J169</f>
        <v>176852.47</v>
      </c>
      <c r="L65" s="115"/>
    </row>
    <row r="66" spans="2:12" s="9" customFormat="1" ht="19.899999999999999" customHeight="1" x14ac:dyDescent="0.3">
      <c r="B66" s="115"/>
      <c r="D66" s="116" t="s">
        <v>165</v>
      </c>
      <c r="E66" s="117"/>
      <c r="F66" s="117"/>
      <c r="G66" s="117"/>
      <c r="H66" s="117"/>
      <c r="I66" s="117"/>
      <c r="J66" s="118">
        <f>J179</f>
        <v>113175.9</v>
      </c>
      <c r="L66" s="115"/>
    </row>
    <row r="67" spans="2:12" s="8" customFormat="1" ht="24.95" customHeight="1" x14ac:dyDescent="0.3">
      <c r="B67" s="111"/>
      <c r="D67" s="112" t="s">
        <v>166</v>
      </c>
      <c r="E67" s="113"/>
      <c r="F67" s="113"/>
      <c r="G67" s="113"/>
      <c r="H67" s="113"/>
      <c r="I67" s="113"/>
      <c r="J67" s="114">
        <f>J182</f>
        <v>8562.43</v>
      </c>
      <c r="L67" s="111"/>
    </row>
    <row r="68" spans="2:12" s="9" customFormat="1" ht="19.899999999999999" customHeight="1" x14ac:dyDescent="0.3">
      <c r="B68" s="115"/>
      <c r="D68" s="116" t="s">
        <v>167</v>
      </c>
      <c r="E68" s="117"/>
      <c r="F68" s="117"/>
      <c r="G68" s="117"/>
      <c r="H68" s="117"/>
      <c r="I68" s="117"/>
      <c r="J68" s="118">
        <f>J183</f>
        <v>8562.43</v>
      </c>
      <c r="L68" s="115"/>
    </row>
    <row r="69" spans="2:12" s="1" customFormat="1" ht="21.75" customHeight="1" x14ac:dyDescent="0.3">
      <c r="B69" s="33"/>
      <c r="L69" s="33"/>
    </row>
    <row r="70" spans="2:12" s="1" customFormat="1" ht="6.95" customHeight="1" x14ac:dyDescent="0.3"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33"/>
    </row>
    <row r="74" spans="2:12" s="1" customFormat="1" ht="6.95" customHeight="1" x14ac:dyDescent="0.3"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33"/>
    </row>
    <row r="75" spans="2:12" s="1" customFormat="1" ht="24.95" customHeight="1" x14ac:dyDescent="0.3">
      <c r="B75" s="33"/>
      <c r="C75" s="22" t="s">
        <v>168</v>
      </c>
      <c r="L75" s="33"/>
    </row>
    <row r="76" spans="2:12" s="1" customFormat="1" ht="6.95" customHeight="1" x14ac:dyDescent="0.3">
      <c r="B76" s="33"/>
      <c r="L76" s="33"/>
    </row>
    <row r="77" spans="2:12" s="1" customFormat="1" ht="12" customHeight="1" x14ac:dyDescent="0.3">
      <c r="B77" s="33"/>
      <c r="C77" s="28" t="s">
        <v>15</v>
      </c>
      <c r="L77" s="33"/>
    </row>
    <row r="78" spans="2:12" s="1" customFormat="1" ht="16.5" customHeight="1" x14ac:dyDescent="0.3">
      <c r="B78" s="33"/>
      <c r="E78" s="324" t="str">
        <f>E7</f>
        <v>Obnova ulice Tyršova, Dobrovice - II. etapa</v>
      </c>
      <c r="F78" s="325"/>
      <c r="G78" s="325"/>
      <c r="H78" s="325"/>
      <c r="L78" s="33"/>
    </row>
    <row r="79" spans="2:12" s="1" customFormat="1" ht="12" customHeight="1" x14ac:dyDescent="0.3">
      <c r="B79" s="33"/>
      <c r="C79" s="28" t="s">
        <v>152</v>
      </c>
      <c r="L79" s="33"/>
    </row>
    <row r="80" spans="2:12" s="1" customFormat="1" ht="16.5" customHeight="1" x14ac:dyDescent="0.3">
      <c r="B80" s="33"/>
      <c r="E80" s="308" t="str">
        <f>E9</f>
        <v>SO 102.II - Stavební úprava chodníku II. etapa</v>
      </c>
      <c r="F80" s="326"/>
      <c r="G80" s="326"/>
      <c r="H80" s="326"/>
      <c r="L80" s="33"/>
    </row>
    <row r="81" spans="2:65" s="1" customFormat="1" ht="6.95" customHeight="1" x14ac:dyDescent="0.3">
      <c r="B81" s="33"/>
      <c r="L81" s="33"/>
    </row>
    <row r="82" spans="2:65" s="1" customFormat="1" ht="12" customHeight="1" x14ac:dyDescent="0.3">
      <c r="B82" s="33"/>
      <c r="C82" s="28" t="s">
        <v>21</v>
      </c>
      <c r="F82" s="26" t="str">
        <f>F12</f>
        <v>Dobrovice</v>
      </c>
      <c r="I82" s="28" t="s">
        <v>23</v>
      </c>
      <c r="J82" s="53">
        <f>IF(J12="","",J12)</f>
        <v>45678</v>
      </c>
      <c r="L82" s="33"/>
    </row>
    <row r="83" spans="2:65" s="1" customFormat="1" ht="6.95" customHeight="1" x14ac:dyDescent="0.3">
      <c r="B83" s="33"/>
      <c r="L83" s="33"/>
    </row>
    <row r="84" spans="2:65" s="1" customFormat="1" ht="25.7" customHeight="1" x14ac:dyDescent="0.3">
      <c r="B84" s="33"/>
      <c r="C84" s="28" t="s">
        <v>28</v>
      </c>
      <c r="F84" s="26" t="str">
        <f>E15</f>
        <v>Město Dobrovice, Palckého nám. 28, 294 41</v>
      </c>
      <c r="I84" s="28" t="s">
        <v>34</v>
      </c>
      <c r="J84" s="96" t="str">
        <f>E21</f>
        <v>Ing. arch. Martin Jirovský Ph.D., MBA</v>
      </c>
      <c r="L84" s="33"/>
    </row>
    <row r="85" spans="2:65" s="1" customFormat="1" ht="40.15" customHeight="1" x14ac:dyDescent="0.3">
      <c r="B85" s="33"/>
      <c r="C85" s="28" t="s">
        <v>33</v>
      </c>
      <c r="F85" s="26">
        <f>IF(E18="","",E18)</f>
        <v>0</v>
      </c>
      <c r="I85" s="28" t="s">
        <v>38</v>
      </c>
      <c r="J85" s="96" t="str">
        <f>E24</f>
        <v>ROAD M.A.A.T. s.r.o., Petra Stejskalová</v>
      </c>
      <c r="L85" s="33"/>
    </row>
    <row r="86" spans="2:65" s="1" customFormat="1" ht="10.35" customHeight="1" x14ac:dyDescent="0.3">
      <c r="B86" s="33"/>
      <c r="L86" s="33"/>
    </row>
    <row r="87" spans="2:65" s="10" customFormat="1" ht="29.25" customHeight="1" x14ac:dyDescent="0.3">
      <c r="B87" s="119"/>
      <c r="C87" s="120" t="s">
        <v>169</v>
      </c>
      <c r="D87" s="121" t="s">
        <v>66</v>
      </c>
      <c r="E87" s="121" t="s">
        <v>63</v>
      </c>
      <c r="F87" s="121" t="s">
        <v>170</v>
      </c>
      <c r="G87" s="121" t="s">
        <v>171</v>
      </c>
      <c r="H87" s="121" t="s">
        <v>172</v>
      </c>
      <c r="I87" s="121" t="s">
        <v>173</v>
      </c>
      <c r="J87" s="121" t="s">
        <v>157</v>
      </c>
      <c r="K87" s="122" t="s">
        <v>174</v>
      </c>
      <c r="L87" s="119"/>
      <c r="M87" s="60" t="s">
        <v>1</v>
      </c>
      <c r="N87" s="61" t="s">
        <v>46</v>
      </c>
      <c r="O87" s="61" t="s">
        <v>175</v>
      </c>
      <c r="P87" s="61" t="s">
        <v>176</v>
      </c>
      <c r="Q87" s="61" t="s">
        <v>177</v>
      </c>
      <c r="R87" s="61" t="s">
        <v>178</v>
      </c>
      <c r="S87" s="61" t="s">
        <v>179</v>
      </c>
      <c r="T87" s="62" t="s">
        <v>180</v>
      </c>
    </row>
    <row r="88" spans="2:65" s="1" customFormat="1" ht="22.9" customHeight="1" x14ac:dyDescent="0.25">
      <c r="B88" s="33"/>
      <c r="C88" s="65" t="s">
        <v>181</v>
      </c>
      <c r="J88" s="123">
        <f>BK88</f>
        <v>1711101.78</v>
      </c>
      <c r="L88" s="33"/>
      <c r="M88" s="63"/>
      <c r="N88" s="54"/>
      <c r="O88" s="54"/>
      <c r="P88" s="124">
        <f>P89+P182</f>
        <v>1686.8856849999997</v>
      </c>
      <c r="Q88" s="54"/>
      <c r="R88" s="124">
        <f>R89+R182</f>
        <v>370.55014419999998</v>
      </c>
      <c r="S88" s="54"/>
      <c r="T88" s="125">
        <f>T89+T182</f>
        <v>343.29500000000002</v>
      </c>
      <c r="AT88" s="18" t="s">
        <v>80</v>
      </c>
      <c r="AU88" s="18" t="s">
        <v>159</v>
      </c>
      <c r="BK88" s="126">
        <f>BK89+BK182</f>
        <v>1711101.78</v>
      </c>
    </row>
    <row r="89" spans="2:65" s="11" customFormat="1" ht="25.9" customHeight="1" x14ac:dyDescent="0.2">
      <c r="B89" s="127"/>
      <c r="D89" s="128" t="s">
        <v>80</v>
      </c>
      <c r="E89" s="129" t="s">
        <v>182</v>
      </c>
      <c r="F89" s="129" t="s">
        <v>183</v>
      </c>
      <c r="J89" s="130">
        <f>BK89</f>
        <v>1702539.35</v>
      </c>
      <c r="L89" s="127"/>
      <c r="M89" s="131"/>
      <c r="P89" s="132">
        <f>P90+P127+P131+P155+P169+P179</f>
        <v>1682.0025729999998</v>
      </c>
      <c r="R89" s="132">
        <f>R90+R127+R131+R155+R169+R179</f>
        <v>370.5342162</v>
      </c>
      <c r="T89" s="133">
        <f>T90+T127+T131+T155+T169+T179</f>
        <v>343.29500000000002</v>
      </c>
      <c r="AR89" s="128" t="s">
        <v>88</v>
      </c>
      <c r="AT89" s="134" t="s">
        <v>80</v>
      </c>
      <c r="AU89" s="134" t="s">
        <v>81</v>
      </c>
      <c r="AY89" s="128" t="s">
        <v>184</v>
      </c>
      <c r="BK89" s="135">
        <f>BK90+BK127+BK131+BK155+BK169+BK179</f>
        <v>1702539.35</v>
      </c>
    </row>
    <row r="90" spans="2:65" s="11" customFormat="1" ht="22.9" customHeight="1" x14ac:dyDescent="0.2">
      <c r="B90" s="127"/>
      <c r="D90" s="128" t="s">
        <v>80</v>
      </c>
      <c r="E90" s="136" t="s">
        <v>88</v>
      </c>
      <c r="F90" s="136" t="s">
        <v>185</v>
      </c>
      <c r="J90" s="137">
        <f>BK90</f>
        <v>403558.54000000004</v>
      </c>
      <c r="L90" s="127"/>
      <c r="M90" s="131"/>
      <c r="P90" s="132">
        <f>SUM(P91:P126)</f>
        <v>669.39119999999991</v>
      </c>
      <c r="R90" s="132">
        <f>SUM(R91:R126)</f>
        <v>0</v>
      </c>
      <c r="T90" s="133">
        <f>SUM(T91:T126)</f>
        <v>343.29500000000002</v>
      </c>
      <c r="AR90" s="128" t="s">
        <v>88</v>
      </c>
      <c r="AT90" s="134" t="s">
        <v>80</v>
      </c>
      <c r="AU90" s="134" t="s">
        <v>88</v>
      </c>
      <c r="AY90" s="128" t="s">
        <v>184</v>
      </c>
      <c r="BK90" s="135">
        <f>SUM(BK91:BK126)</f>
        <v>403558.54000000004</v>
      </c>
    </row>
    <row r="91" spans="2:65" s="1" customFormat="1" ht="44.25" customHeight="1" x14ac:dyDescent="0.3">
      <c r="B91" s="33"/>
      <c r="C91" s="138" t="s">
        <v>88</v>
      </c>
      <c r="D91" s="138" t="s">
        <v>186</v>
      </c>
      <c r="E91" s="139" t="s">
        <v>197</v>
      </c>
      <c r="F91" s="140" t="s">
        <v>1515</v>
      </c>
      <c r="G91" s="141" t="s">
        <v>189</v>
      </c>
      <c r="H91" s="142">
        <v>409</v>
      </c>
      <c r="I91" s="143">
        <v>45.82</v>
      </c>
      <c r="J91" s="144">
        <f>ROUND(I91*H91,2)</f>
        <v>18740.38</v>
      </c>
      <c r="K91" s="140" t="s">
        <v>190</v>
      </c>
      <c r="L91" s="33"/>
      <c r="M91" s="145" t="s">
        <v>1</v>
      </c>
      <c r="N91" s="146" t="s">
        <v>47</v>
      </c>
      <c r="O91" s="147">
        <v>0.02</v>
      </c>
      <c r="P91" s="147">
        <f>O91*H91</f>
        <v>8.18</v>
      </c>
      <c r="Q91" s="147">
        <v>0</v>
      </c>
      <c r="R91" s="147">
        <f>Q91*H91</f>
        <v>0</v>
      </c>
      <c r="S91" s="147">
        <v>0.255</v>
      </c>
      <c r="T91" s="148">
        <f>S91*H91</f>
        <v>104.295</v>
      </c>
      <c r="AR91" s="149" t="s">
        <v>191</v>
      </c>
      <c r="AT91" s="149" t="s">
        <v>186</v>
      </c>
      <c r="AU91" s="149" t="s">
        <v>20</v>
      </c>
      <c r="AY91" s="18" t="s">
        <v>184</v>
      </c>
      <c r="BE91" s="150">
        <f>IF(N91="základní",J91,0)</f>
        <v>18740.38</v>
      </c>
      <c r="BF91" s="150">
        <f>IF(N91="snížená",J91,0)</f>
        <v>0</v>
      </c>
      <c r="BG91" s="150">
        <f>IF(N91="zákl. přenesená",J91,0)</f>
        <v>0</v>
      </c>
      <c r="BH91" s="150">
        <f>IF(N91="sníž. přenesená",J91,0)</f>
        <v>0</v>
      </c>
      <c r="BI91" s="150">
        <f>IF(N91="nulová",J91,0)</f>
        <v>0</v>
      </c>
      <c r="BJ91" s="18" t="s">
        <v>88</v>
      </c>
      <c r="BK91" s="150">
        <f>ROUND(I91*H91,2)</f>
        <v>18740.38</v>
      </c>
      <c r="BL91" s="18" t="s">
        <v>191</v>
      </c>
      <c r="BM91" s="149" t="s">
        <v>1516</v>
      </c>
    </row>
    <row r="92" spans="2:65" s="1" customFormat="1" x14ac:dyDescent="0.3">
      <c r="B92" s="33"/>
      <c r="D92" s="151" t="s">
        <v>193</v>
      </c>
      <c r="F92" s="152" t="s">
        <v>200</v>
      </c>
      <c r="I92" s="153"/>
      <c r="L92" s="33"/>
      <c r="M92" s="154"/>
      <c r="T92" s="57"/>
      <c r="AT92" s="18" t="s">
        <v>193</v>
      </c>
      <c r="AU92" s="18" t="s">
        <v>20</v>
      </c>
    </row>
    <row r="93" spans="2:65" s="12" customFormat="1" ht="11.25" x14ac:dyDescent="0.3">
      <c r="B93" s="155"/>
      <c r="D93" s="156" t="s">
        <v>195</v>
      </c>
      <c r="E93" s="157" t="s">
        <v>1</v>
      </c>
      <c r="F93" s="158" t="s">
        <v>1517</v>
      </c>
      <c r="H93" s="159">
        <v>409</v>
      </c>
      <c r="I93" s="160"/>
      <c r="L93" s="155"/>
      <c r="M93" s="161"/>
      <c r="T93" s="162"/>
      <c r="AT93" s="157" t="s">
        <v>195</v>
      </c>
      <c r="AU93" s="157" t="s">
        <v>20</v>
      </c>
      <c r="AV93" s="12" t="s">
        <v>20</v>
      </c>
      <c r="AW93" s="12" t="s">
        <v>37</v>
      </c>
      <c r="AX93" s="12" t="s">
        <v>88</v>
      </c>
      <c r="AY93" s="157" t="s">
        <v>184</v>
      </c>
    </row>
    <row r="94" spans="2:65" s="1" customFormat="1" ht="37.9" customHeight="1" x14ac:dyDescent="0.3">
      <c r="B94" s="33"/>
      <c r="C94" s="138" t="s">
        <v>20</v>
      </c>
      <c r="D94" s="138" t="s">
        <v>186</v>
      </c>
      <c r="E94" s="139" t="s">
        <v>203</v>
      </c>
      <c r="F94" s="140" t="s">
        <v>1518</v>
      </c>
      <c r="G94" s="141" t="s">
        <v>189</v>
      </c>
      <c r="H94" s="142">
        <v>409</v>
      </c>
      <c r="I94" s="143">
        <v>137.44999999999999</v>
      </c>
      <c r="J94" s="144">
        <f>ROUND(I94*H94,2)</f>
        <v>56217.05</v>
      </c>
      <c r="K94" s="140" t="s">
        <v>190</v>
      </c>
      <c r="L94" s="33"/>
      <c r="M94" s="145" t="s">
        <v>1</v>
      </c>
      <c r="N94" s="146" t="s">
        <v>47</v>
      </c>
      <c r="O94" s="147">
        <v>0.11899999999999999</v>
      </c>
      <c r="P94" s="147">
        <f>O94*H94</f>
        <v>48.670999999999999</v>
      </c>
      <c r="Q94" s="147">
        <v>0</v>
      </c>
      <c r="R94" s="147">
        <f>Q94*H94</f>
        <v>0</v>
      </c>
      <c r="S94" s="147">
        <v>0.44</v>
      </c>
      <c r="T94" s="148">
        <f>S94*H94</f>
        <v>179.96</v>
      </c>
      <c r="AR94" s="149" t="s">
        <v>191</v>
      </c>
      <c r="AT94" s="149" t="s">
        <v>186</v>
      </c>
      <c r="AU94" s="149" t="s">
        <v>20</v>
      </c>
      <c r="AY94" s="18" t="s">
        <v>184</v>
      </c>
      <c r="BE94" s="150">
        <f>IF(N94="základní",J94,0)</f>
        <v>56217.05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8" t="s">
        <v>88</v>
      </c>
      <c r="BK94" s="150">
        <f>ROUND(I94*H94,2)</f>
        <v>56217.05</v>
      </c>
      <c r="BL94" s="18" t="s">
        <v>191</v>
      </c>
      <c r="BM94" s="149" t="s">
        <v>1519</v>
      </c>
    </row>
    <row r="95" spans="2:65" s="1" customFormat="1" x14ac:dyDescent="0.3">
      <c r="B95" s="33"/>
      <c r="D95" s="151" t="s">
        <v>193</v>
      </c>
      <c r="F95" s="152" t="s">
        <v>206</v>
      </c>
      <c r="I95" s="153"/>
      <c r="L95" s="33"/>
      <c r="M95" s="154"/>
      <c r="T95" s="57"/>
      <c r="AT95" s="18" t="s">
        <v>193</v>
      </c>
      <c r="AU95" s="18" t="s">
        <v>20</v>
      </c>
    </row>
    <row r="96" spans="2:65" s="1" customFormat="1" ht="24.2" customHeight="1" x14ac:dyDescent="0.3">
      <c r="B96" s="33"/>
      <c r="C96" s="138" t="s">
        <v>202</v>
      </c>
      <c r="D96" s="138" t="s">
        <v>186</v>
      </c>
      <c r="E96" s="139" t="s">
        <v>208</v>
      </c>
      <c r="F96" s="140" t="s">
        <v>1520</v>
      </c>
      <c r="G96" s="141" t="s">
        <v>210</v>
      </c>
      <c r="H96" s="142">
        <v>288</v>
      </c>
      <c r="I96" s="143">
        <v>152.72</v>
      </c>
      <c r="J96" s="144">
        <f>ROUND(I96*H96,2)</f>
        <v>43983.360000000001</v>
      </c>
      <c r="K96" s="140" t="s">
        <v>190</v>
      </c>
      <c r="L96" s="33"/>
      <c r="M96" s="145" t="s">
        <v>1</v>
      </c>
      <c r="N96" s="146" t="s">
        <v>47</v>
      </c>
      <c r="O96" s="147">
        <v>0.13300000000000001</v>
      </c>
      <c r="P96" s="147">
        <f>O96*H96</f>
        <v>38.304000000000002</v>
      </c>
      <c r="Q96" s="147">
        <v>0</v>
      </c>
      <c r="R96" s="147">
        <f>Q96*H96</f>
        <v>0</v>
      </c>
      <c r="S96" s="147">
        <v>0.20499999999999999</v>
      </c>
      <c r="T96" s="148">
        <f>S96*H96</f>
        <v>59.04</v>
      </c>
      <c r="AR96" s="149" t="s">
        <v>191</v>
      </c>
      <c r="AT96" s="149" t="s">
        <v>186</v>
      </c>
      <c r="AU96" s="149" t="s">
        <v>20</v>
      </c>
      <c r="AY96" s="18" t="s">
        <v>184</v>
      </c>
      <c r="BE96" s="150">
        <f>IF(N96="základní",J96,0)</f>
        <v>43983.360000000001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8" t="s">
        <v>88</v>
      </c>
      <c r="BK96" s="150">
        <f>ROUND(I96*H96,2)</f>
        <v>43983.360000000001</v>
      </c>
      <c r="BL96" s="18" t="s">
        <v>191</v>
      </c>
      <c r="BM96" s="149" t="s">
        <v>1521</v>
      </c>
    </row>
    <row r="97" spans="2:65" s="1" customFormat="1" x14ac:dyDescent="0.3">
      <c r="B97" s="33"/>
      <c r="D97" s="151" t="s">
        <v>193</v>
      </c>
      <c r="F97" s="152" t="s">
        <v>212</v>
      </c>
      <c r="I97" s="153"/>
      <c r="L97" s="33"/>
      <c r="M97" s="154"/>
      <c r="T97" s="57"/>
      <c r="AT97" s="18" t="s">
        <v>193</v>
      </c>
      <c r="AU97" s="18" t="s">
        <v>20</v>
      </c>
    </row>
    <row r="98" spans="2:65" s="12" customFormat="1" ht="11.25" x14ac:dyDescent="0.3">
      <c r="B98" s="155"/>
      <c r="D98" s="156" t="s">
        <v>195</v>
      </c>
      <c r="E98" s="157" t="s">
        <v>1</v>
      </c>
      <c r="F98" s="158" t="s">
        <v>1522</v>
      </c>
      <c r="H98" s="159">
        <v>288</v>
      </c>
      <c r="I98" s="160"/>
      <c r="L98" s="155"/>
      <c r="M98" s="161"/>
      <c r="T98" s="162"/>
      <c r="AT98" s="157" t="s">
        <v>195</v>
      </c>
      <c r="AU98" s="157" t="s">
        <v>20</v>
      </c>
      <c r="AV98" s="12" t="s">
        <v>20</v>
      </c>
      <c r="AW98" s="12" t="s">
        <v>37</v>
      </c>
      <c r="AX98" s="12" t="s">
        <v>88</v>
      </c>
      <c r="AY98" s="157" t="s">
        <v>184</v>
      </c>
    </row>
    <row r="99" spans="2:65" s="1" customFormat="1" ht="21.75" customHeight="1" x14ac:dyDescent="0.3">
      <c r="B99" s="33"/>
      <c r="C99" s="138" t="s">
        <v>191</v>
      </c>
      <c r="D99" s="138" t="s">
        <v>186</v>
      </c>
      <c r="E99" s="139" t="s">
        <v>215</v>
      </c>
      <c r="F99" s="140" t="s">
        <v>1448</v>
      </c>
      <c r="G99" s="141" t="s">
        <v>217</v>
      </c>
      <c r="H99" s="142">
        <v>122.7</v>
      </c>
      <c r="I99" s="143">
        <v>190.9</v>
      </c>
      <c r="J99" s="144">
        <f>ROUND(I99*H99,2)</f>
        <v>23423.43</v>
      </c>
      <c r="K99" s="140" t="s">
        <v>190</v>
      </c>
      <c r="L99" s="33"/>
      <c r="M99" s="145" t="s">
        <v>1</v>
      </c>
      <c r="N99" s="146" t="s">
        <v>47</v>
      </c>
      <c r="O99" s="147">
        <v>0.14000000000000001</v>
      </c>
      <c r="P99" s="147">
        <f>O99*H99</f>
        <v>17.178000000000001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49" t="s">
        <v>191</v>
      </c>
      <c r="AT99" s="149" t="s">
        <v>186</v>
      </c>
      <c r="AU99" s="149" t="s">
        <v>20</v>
      </c>
      <c r="AY99" s="18" t="s">
        <v>184</v>
      </c>
      <c r="BE99" s="150">
        <f>IF(N99="základní",J99,0)</f>
        <v>23423.43</v>
      </c>
      <c r="BF99" s="150">
        <f>IF(N99="snížená",J99,0)</f>
        <v>0</v>
      </c>
      <c r="BG99" s="150">
        <f>IF(N99="zákl. přenesená",J99,0)</f>
        <v>0</v>
      </c>
      <c r="BH99" s="150">
        <f>IF(N99="sníž. přenesená",J99,0)</f>
        <v>0</v>
      </c>
      <c r="BI99" s="150">
        <f>IF(N99="nulová",J99,0)</f>
        <v>0</v>
      </c>
      <c r="BJ99" s="18" t="s">
        <v>88</v>
      </c>
      <c r="BK99" s="150">
        <f>ROUND(I99*H99,2)</f>
        <v>23423.43</v>
      </c>
      <c r="BL99" s="18" t="s">
        <v>191</v>
      </c>
      <c r="BM99" s="149" t="s">
        <v>1523</v>
      </c>
    </row>
    <row r="100" spans="2:65" s="1" customFormat="1" x14ac:dyDescent="0.3">
      <c r="B100" s="33"/>
      <c r="D100" s="151" t="s">
        <v>193</v>
      </c>
      <c r="F100" s="152" t="s">
        <v>219</v>
      </c>
      <c r="I100" s="153"/>
      <c r="L100" s="33"/>
      <c r="M100" s="154"/>
      <c r="T100" s="57"/>
      <c r="AT100" s="18" t="s">
        <v>193</v>
      </c>
      <c r="AU100" s="18" t="s">
        <v>20</v>
      </c>
    </row>
    <row r="101" spans="2:65" s="12" customFormat="1" ht="11.25" x14ac:dyDescent="0.3">
      <c r="B101" s="155"/>
      <c r="D101" s="156" t="s">
        <v>195</v>
      </c>
      <c r="E101" s="157" t="s">
        <v>1</v>
      </c>
      <c r="F101" s="158" t="s">
        <v>1524</v>
      </c>
      <c r="H101" s="159">
        <v>122.7</v>
      </c>
      <c r="I101" s="160"/>
      <c r="L101" s="155"/>
      <c r="M101" s="161"/>
      <c r="T101" s="162"/>
      <c r="AT101" s="157" t="s">
        <v>195</v>
      </c>
      <c r="AU101" s="157" t="s">
        <v>20</v>
      </c>
      <c r="AV101" s="12" t="s">
        <v>20</v>
      </c>
      <c r="AW101" s="12" t="s">
        <v>37</v>
      </c>
      <c r="AX101" s="12" t="s">
        <v>88</v>
      </c>
      <c r="AY101" s="157" t="s">
        <v>184</v>
      </c>
    </row>
    <row r="102" spans="2:65" s="1" customFormat="1" ht="24.2" customHeight="1" x14ac:dyDescent="0.3">
      <c r="B102" s="33"/>
      <c r="C102" s="138" t="s">
        <v>214</v>
      </c>
      <c r="D102" s="138" t="s">
        <v>186</v>
      </c>
      <c r="E102" s="139" t="s">
        <v>222</v>
      </c>
      <c r="F102" s="140" t="s">
        <v>1452</v>
      </c>
      <c r="G102" s="141" t="s">
        <v>217</v>
      </c>
      <c r="H102" s="142">
        <v>343</v>
      </c>
      <c r="I102" s="143">
        <v>474.05</v>
      </c>
      <c r="J102" s="144">
        <f>ROUND(I102*H102,2)</f>
        <v>162599.15</v>
      </c>
      <c r="K102" s="140" t="s">
        <v>190</v>
      </c>
      <c r="L102" s="33"/>
      <c r="M102" s="145" t="s">
        <v>1</v>
      </c>
      <c r="N102" s="146" t="s">
        <v>47</v>
      </c>
      <c r="O102" s="147">
        <v>1.548</v>
      </c>
      <c r="P102" s="147">
        <f>O102*H102</f>
        <v>530.96400000000006</v>
      </c>
      <c r="Q102" s="147">
        <v>0</v>
      </c>
      <c r="R102" s="147">
        <f>Q102*H102</f>
        <v>0</v>
      </c>
      <c r="S102" s="147">
        <v>0</v>
      </c>
      <c r="T102" s="148">
        <f>S102*H102</f>
        <v>0</v>
      </c>
      <c r="AR102" s="149" t="s">
        <v>191</v>
      </c>
      <c r="AT102" s="149" t="s">
        <v>186</v>
      </c>
      <c r="AU102" s="149" t="s">
        <v>20</v>
      </c>
      <c r="AY102" s="18" t="s">
        <v>184</v>
      </c>
      <c r="BE102" s="150">
        <f>IF(N102="základní",J102,0)</f>
        <v>162599.15</v>
      </c>
      <c r="BF102" s="150">
        <f>IF(N102="snížená",J102,0)</f>
        <v>0</v>
      </c>
      <c r="BG102" s="150">
        <f>IF(N102="zákl. přenesená",J102,0)</f>
        <v>0</v>
      </c>
      <c r="BH102" s="150">
        <f>IF(N102="sníž. přenesená",J102,0)</f>
        <v>0</v>
      </c>
      <c r="BI102" s="150">
        <f>IF(N102="nulová",J102,0)</f>
        <v>0</v>
      </c>
      <c r="BJ102" s="18" t="s">
        <v>88</v>
      </c>
      <c r="BK102" s="150">
        <f>ROUND(I102*H102,2)</f>
        <v>162599.15</v>
      </c>
      <c r="BL102" s="18" t="s">
        <v>191</v>
      </c>
      <c r="BM102" s="149" t="s">
        <v>1525</v>
      </c>
    </row>
    <row r="103" spans="2:65" s="1" customFormat="1" x14ac:dyDescent="0.3">
      <c r="B103" s="33"/>
      <c r="D103" s="151" t="s">
        <v>193</v>
      </c>
      <c r="F103" s="152" t="s">
        <v>225</v>
      </c>
      <c r="I103" s="153"/>
      <c r="L103" s="33"/>
      <c r="M103" s="154"/>
      <c r="T103" s="57"/>
      <c r="AT103" s="18" t="s">
        <v>193</v>
      </c>
      <c r="AU103" s="18" t="s">
        <v>20</v>
      </c>
    </row>
    <row r="104" spans="2:65" s="12" customFormat="1" ht="11.25" x14ac:dyDescent="0.3">
      <c r="B104" s="155"/>
      <c r="D104" s="156" t="s">
        <v>195</v>
      </c>
      <c r="E104" s="157" t="s">
        <v>1</v>
      </c>
      <c r="F104" s="158" t="s">
        <v>1526</v>
      </c>
      <c r="H104" s="159">
        <v>107</v>
      </c>
      <c r="I104" s="160"/>
      <c r="L104" s="155"/>
      <c r="M104" s="161"/>
      <c r="T104" s="162"/>
      <c r="AT104" s="157" t="s">
        <v>195</v>
      </c>
      <c r="AU104" s="157" t="s">
        <v>20</v>
      </c>
      <c r="AV104" s="12" t="s">
        <v>20</v>
      </c>
      <c r="AW104" s="12" t="s">
        <v>37</v>
      </c>
      <c r="AX104" s="12" t="s">
        <v>81</v>
      </c>
      <c r="AY104" s="157" t="s">
        <v>184</v>
      </c>
    </row>
    <row r="105" spans="2:65" s="12" customFormat="1" ht="11.25" x14ac:dyDescent="0.3">
      <c r="B105" s="155"/>
      <c r="D105" s="156" t="s">
        <v>195</v>
      </c>
      <c r="E105" s="157" t="s">
        <v>1</v>
      </c>
      <c r="F105" s="158" t="s">
        <v>1527</v>
      </c>
      <c r="H105" s="159">
        <v>141.5</v>
      </c>
      <c r="I105" s="160"/>
      <c r="L105" s="155"/>
      <c r="M105" s="161"/>
      <c r="T105" s="162"/>
      <c r="AT105" s="157" t="s">
        <v>195</v>
      </c>
      <c r="AU105" s="157" t="s">
        <v>20</v>
      </c>
      <c r="AV105" s="12" t="s">
        <v>20</v>
      </c>
      <c r="AW105" s="12" t="s">
        <v>37</v>
      </c>
      <c r="AX105" s="12" t="s">
        <v>81</v>
      </c>
      <c r="AY105" s="157" t="s">
        <v>184</v>
      </c>
    </row>
    <row r="106" spans="2:65" s="12" customFormat="1" ht="11.25" x14ac:dyDescent="0.3">
      <c r="B106" s="155"/>
      <c r="D106" s="156" t="s">
        <v>195</v>
      </c>
      <c r="E106" s="157" t="s">
        <v>1</v>
      </c>
      <c r="F106" s="158" t="s">
        <v>1528</v>
      </c>
      <c r="H106" s="159">
        <v>71</v>
      </c>
      <c r="I106" s="160"/>
      <c r="L106" s="155"/>
      <c r="M106" s="161"/>
      <c r="T106" s="162"/>
      <c r="AT106" s="157" t="s">
        <v>195</v>
      </c>
      <c r="AU106" s="157" t="s">
        <v>20</v>
      </c>
      <c r="AV106" s="12" t="s">
        <v>20</v>
      </c>
      <c r="AW106" s="12" t="s">
        <v>37</v>
      </c>
      <c r="AX106" s="12" t="s">
        <v>81</v>
      </c>
      <c r="AY106" s="157" t="s">
        <v>184</v>
      </c>
    </row>
    <row r="107" spans="2:65" s="12" customFormat="1" ht="11.25" x14ac:dyDescent="0.3">
      <c r="B107" s="155"/>
      <c r="D107" s="156" t="s">
        <v>195</v>
      </c>
      <c r="E107" s="157" t="s">
        <v>1</v>
      </c>
      <c r="F107" s="158" t="s">
        <v>1529</v>
      </c>
      <c r="H107" s="159">
        <v>21.5</v>
      </c>
      <c r="I107" s="160"/>
      <c r="L107" s="155"/>
      <c r="M107" s="161"/>
      <c r="T107" s="162"/>
      <c r="AT107" s="157" t="s">
        <v>195</v>
      </c>
      <c r="AU107" s="157" t="s">
        <v>20</v>
      </c>
      <c r="AV107" s="12" t="s">
        <v>20</v>
      </c>
      <c r="AW107" s="12" t="s">
        <v>37</v>
      </c>
      <c r="AX107" s="12" t="s">
        <v>81</v>
      </c>
      <c r="AY107" s="157" t="s">
        <v>184</v>
      </c>
    </row>
    <row r="108" spans="2:65" s="12" customFormat="1" ht="11.25" x14ac:dyDescent="0.3">
      <c r="B108" s="155"/>
      <c r="D108" s="156" t="s">
        <v>195</v>
      </c>
      <c r="E108" s="157" t="s">
        <v>1</v>
      </c>
      <c r="F108" s="158" t="s">
        <v>1457</v>
      </c>
      <c r="H108" s="159">
        <v>1</v>
      </c>
      <c r="I108" s="160"/>
      <c r="L108" s="155"/>
      <c r="M108" s="161"/>
      <c r="T108" s="162"/>
      <c r="AT108" s="157" t="s">
        <v>195</v>
      </c>
      <c r="AU108" s="157" t="s">
        <v>20</v>
      </c>
      <c r="AV108" s="12" t="s">
        <v>20</v>
      </c>
      <c r="AW108" s="12" t="s">
        <v>37</v>
      </c>
      <c r="AX108" s="12" t="s">
        <v>81</v>
      </c>
      <c r="AY108" s="157" t="s">
        <v>184</v>
      </c>
    </row>
    <row r="109" spans="2:65" s="12" customFormat="1" ht="11.25" x14ac:dyDescent="0.3">
      <c r="B109" s="155"/>
      <c r="D109" s="156" t="s">
        <v>195</v>
      </c>
      <c r="E109" s="157" t="s">
        <v>1</v>
      </c>
      <c r="F109" s="158" t="s">
        <v>1458</v>
      </c>
      <c r="H109" s="159">
        <v>1</v>
      </c>
      <c r="I109" s="160"/>
      <c r="L109" s="155"/>
      <c r="M109" s="161"/>
      <c r="T109" s="162"/>
      <c r="AT109" s="157" t="s">
        <v>195</v>
      </c>
      <c r="AU109" s="157" t="s">
        <v>20</v>
      </c>
      <c r="AV109" s="12" t="s">
        <v>20</v>
      </c>
      <c r="AW109" s="12" t="s">
        <v>37</v>
      </c>
      <c r="AX109" s="12" t="s">
        <v>81</v>
      </c>
      <c r="AY109" s="157" t="s">
        <v>184</v>
      </c>
    </row>
    <row r="110" spans="2:65" s="13" customFormat="1" ht="11.25" x14ac:dyDescent="0.3">
      <c r="B110" s="163"/>
      <c r="D110" s="156" t="s">
        <v>195</v>
      </c>
      <c r="E110" s="164" t="s">
        <v>1</v>
      </c>
      <c r="F110" s="165" t="s">
        <v>230</v>
      </c>
      <c r="H110" s="166">
        <v>343</v>
      </c>
      <c r="I110" s="167"/>
      <c r="L110" s="163"/>
      <c r="M110" s="168"/>
      <c r="T110" s="169"/>
      <c r="AT110" s="164" t="s">
        <v>195</v>
      </c>
      <c r="AU110" s="164" t="s">
        <v>20</v>
      </c>
      <c r="AV110" s="13" t="s">
        <v>191</v>
      </c>
      <c r="AW110" s="13" t="s">
        <v>37</v>
      </c>
      <c r="AX110" s="13" t="s">
        <v>88</v>
      </c>
      <c r="AY110" s="164" t="s">
        <v>184</v>
      </c>
    </row>
    <row r="111" spans="2:65" s="1" customFormat="1" ht="37.9" customHeight="1" x14ac:dyDescent="0.3">
      <c r="B111" s="33"/>
      <c r="C111" s="138" t="s">
        <v>221</v>
      </c>
      <c r="D111" s="138" t="s">
        <v>186</v>
      </c>
      <c r="E111" s="139" t="s">
        <v>232</v>
      </c>
      <c r="F111" s="140" t="s">
        <v>1464</v>
      </c>
      <c r="G111" s="141" t="s">
        <v>217</v>
      </c>
      <c r="H111" s="142">
        <v>122.7</v>
      </c>
      <c r="I111" s="143">
        <v>103.82</v>
      </c>
      <c r="J111" s="144">
        <f>ROUND(I111*H111,2)</f>
        <v>12738.71</v>
      </c>
      <c r="K111" s="140" t="s">
        <v>190</v>
      </c>
      <c r="L111" s="33"/>
      <c r="M111" s="145" t="s">
        <v>1</v>
      </c>
      <c r="N111" s="146" t="s">
        <v>47</v>
      </c>
      <c r="O111" s="147">
        <v>8.6999999999999994E-2</v>
      </c>
      <c r="P111" s="147">
        <f>O111*H111</f>
        <v>10.674899999999999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49" t="s">
        <v>191</v>
      </c>
      <c r="AT111" s="149" t="s">
        <v>186</v>
      </c>
      <c r="AU111" s="149" t="s">
        <v>20</v>
      </c>
      <c r="AY111" s="18" t="s">
        <v>184</v>
      </c>
      <c r="BE111" s="150">
        <f>IF(N111="základní",J111,0)</f>
        <v>12738.71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8" t="s">
        <v>88</v>
      </c>
      <c r="BK111" s="150">
        <f>ROUND(I111*H111,2)</f>
        <v>12738.71</v>
      </c>
      <c r="BL111" s="18" t="s">
        <v>191</v>
      </c>
      <c r="BM111" s="149" t="s">
        <v>1530</v>
      </c>
    </row>
    <row r="112" spans="2:65" s="1" customFormat="1" x14ac:dyDescent="0.3">
      <c r="B112" s="33"/>
      <c r="D112" s="151" t="s">
        <v>193</v>
      </c>
      <c r="F112" s="152" t="s">
        <v>235</v>
      </c>
      <c r="I112" s="153"/>
      <c r="L112" s="33"/>
      <c r="M112" s="154"/>
      <c r="T112" s="57"/>
      <c r="AT112" s="18" t="s">
        <v>193</v>
      </c>
      <c r="AU112" s="18" t="s">
        <v>20</v>
      </c>
    </row>
    <row r="113" spans="2:65" s="12" customFormat="1" ht="11.25" x14ac:dyDescent="0.3">
      <c r="B113" s="155"/>
      <c r="D113" s="156" t="s">
        <v>195</v>
      </c>
      <c r="E113" s="157" t="s">
        <v>1</v>
      </c>
      <c r="F113" s="158" t="s">
        <v>1531</v>
      </c>
      <c r="H113" s="159">
        <v>122.7</v>
      </c>
      <c r="I113" s="160"/>
      <c r="L113" s="155"/>
      <c r="M113" s="161"/>
      <c r="T113" s="162"/>
      <c r="AT113" s="157" t="s">
        <v>195</v>
      </c>
      <c r="AU113" s="157" t="s">
        <v>20</v>
      </c>
      <c r="AV113" s="12" t="s">
        <v>20</v>
      </c>
      <c r="AW113" s="12" t="s">
        <v>37</v>
      </c>
      <c r="AX113" s="12" t="s">
        <v>88</v>
      </c>
      <c r="AY113" s="157" t="s">
        <v>184</v>
      </c>
    </row>
    <row r="114" spans="2:65" s="1" customFormat="1" ht="37.9" customHeight="1" x14ac:dyDescent="0.3">
      <c r="B114" s="33"/>
      <c r="C114" s="138" t="s">
        <v>231</v>
      </c>
      <c r="D114" s="138" t="s">
        <v>186</v>
      </c>
      <c r="E114" s="139" t="s">
        <v>240</v>
      </c>
      <c r="F114" s="140" t="s">
        <v>1467</v>
      </c>
      <c r="G114" s="141" t="s">
        <v>217</v>
      </c>
      <c r="H114" s="142">
        <v>490.8</v>
      </c>
      <c r="I114" s="143">
        <v>7.13</v>
      </c>
      <c r="J114" s="144">
        <f>ROUND(I114*H114,2)</f>
        <v>3499.4</v>
      </c>
      <c r="K114" s="140" t="s">
        <v>190</v>
      </c>
      <c r="L114" s="33"/>
      <c r="M114" s="145" t="s">
        <v>1</v>
      </c>
      <c r="N114" s="146" t="s">
        <v>47</v>
      </c>
      <c r="O114" s="147">
        <v>5.0000000000000001E-3</v>
      </c>
      <c r="P114" s="147">
        <f>O114*H114</f>
        <v>2.4540000000000002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49" t="s">
        <v>191</v>
      </c>
      <c r="AT114" s="149" t="s">
        <v>186</v>
      </c>
      <c r="AU114" s="149" t="s">
        <v>20</v>
      </c>
      <c r="AY114" s="18" t="s">
        <v>184</v>
      </c>
      <c r="BE114" s="150">
        <f>IF(N114="základní",J114,0)</f>
        <v>3499.4</v>
      </c>
      <c r="BF114" s="150">
        <f>IF(N114="snížená",J114,0)</f>
        <v>0</v>
      </c>
      <c r="BG114" s="150">
        <f>IF(N114="zákl. přenesená",J114,0)</f>
        <v>0</v>
      </c>
      <c r="BH114" s="150">
        <f>IF(N114="sníž. přenesená",J114,0)</f>
        <v>0</v>
      </c>
      <c r="BI114" s="150">
        <f>IF(N114="nulová",J114,0)</f>
        <v>0</v>
      </c>
      <c r="BJ114" s="18" t="s">
        <v>88</v>
      </c>
      <c r="BK114" s="150">
        <f>ROUND(I114*H114,2)</f>
        <v>3499.4</v>
      </c>
      <c r="BL114" s="18" t="s">
        <v>191</v>
      </c>
      <c r="BM114" s="149" t="s">
        <v>1532</v>
      </c>
    </row>
    <row r="115" spans="2:65" s="1" customFormat="1" x14ac:dyDescent="0.3">
      <c r="B115" s="33"/>
      <c r="D115" s="151" t="s">
        <v>193</v>
      </c>
      <c r="F115" s="152" t="s">
        <v>243</v>
      </c>
      <c r="I115" s="153"/>
      <c r="L115" s="33"/>
      <c r="M115" s="154"/>
      <c r="T115" s="57"/>
      <c r="AT115" s="18" t="s">
        <v>193</v>
      </c>
      <c r="AU115" s="18" t="s">
        <v>20</v>
      </c>
    </row>
    <row r="116" spans="2:65" s="1" customFormat="1" ht="19.5" x14ac:dyDescent="0.3">
      <c r="B116" s="33"/>
      <c r="D116" s="156" t="s">
        <v>236</v>
      </c>
      <c r="F116" s="170" t="s">
        <v>1327</v>
      </c>
      <c r="I116" s="153"/>
      <c r="L116" s="33"/>
      <c r="M116" s="154"/>
      <c r="T116" s="57"/>
      <c r="AT116" s="18" t="s">
        <v>236</v>
      </c>
      <c r="AU116" s="18" t="s">
        <v>20</v>
      </c>
    </row>
    <row r="117" spans="2:65" s="12" customFormat="1" ht="11.25" x14ac:dyDescent="0.3">
      <c r="B117" s="155"/>
      <c r="D117" s="156" t="s">
        <v>195</v>
      </c>
      <c r="E117" s="157" t="s">
        <v>1</v>
      </c>
      <c r="F117" s="158" t="s">
        <v>1533</v>
      </c>
      <c r="H117" s="159">
        <v>490.8</v>
      </c>
      <c r="I117" s="160"/>
      <c r="L117" s="155"/>
      <c r="M117" s="161"/>
      <c r="T117" s="162"/>
      <c r="AT117" s="157" t="s">
        <v>195</v>
      </c>
      <c r="AU117" s="157" t="s">
        <v>20</v>
      </c>
      <c r="AV117" s="12" t="s">
        <v>20</v>
      </c>
      <c r="AW117" s="12" t="s">
        <v>37</v>
      </c>
      <c r="AX117" s="12" t="s">
        <v>88</v>
      </c>
      <c r="AY117" s="157" t="s">
        <v>184</v>
      </c>
    </row>
    <row r="118" spans="2:65" s="1" customFormat="1" ht="24.2" customHeight="1" x14ac:dyDescent="0.3">
      <c r="B118" s="33"/>
      <c r="C118" s="138" t="s">
        <v>239</v>
      </c>
      <c r="D118" s="138" t="s">
        <v>186</v>
      </c>
      <c r="E118" s="139" t="s">
        <v>246</v>
      </c>
      <c r="F118" s="140" t="s">
        <v>1470</v>
      </c>
      <c r="G118" s="141" t="s">
        <v>248</v>
      </c>
      <c r="H118" s="142">
        <v>245.4</v>
      </c>
      <c r="I118" s="143">
        <v>256.7</v>
      </c>
      <c r="J118" s="144">
        <f>ROUND(I118*H118,2)</f>
        <v>62994.18</v>
      </c>
      <c r="K118" s="140" t="s">
        <v>190</v>
      </c>
      <c r="L118" s="33"/>
      <c r="M118" s="145" t="s">
        <v>1</v>
      </c>
      <c r="N118" s="146" t="s">
        <v>47</v>
      </c>
      <c r="O118" s="147">
        <v>0</v>
      </c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49" t="s">
        <v>191</v>
      </c>
      <c r="AT118" s="149" t="s">
        <v>186</v>
      </c>
      <c r="AU118" s="149" t="s">
        <v>20</v>
      </c>
      <c r="AY118" s="18" t="s">
        <v>184</v>
      </c>
      <c r="BE118" s="150">
        <f>IF(N118="základní",J118,0)</f>
        <v>62994.18</v>
      </c>
      <c r="BF118" s="150">
        <f>IF(N118="snížená",J118,0)</f>
        <v>0</v>
      </c>
      <c r="BG118" s="150">
        <f>IF(N118="zákl. přenesená",J118,0)</f>
        <v>0</v>
      </c>
      <c r="BH118" s="150">
        <f>IF(N118="sníž. přenesená",J118,0)</f>
        <v>0</v>
      </c>
      <c r="BI118" s="150">
        <f>IF(N118="nulová",J118,0)</f>
        <v>0</v>
      </c>
      <c r="BJ118" s="18" t="s">
        <v>88</v>
      </c>
      <c r="BK118" s="150">
        <f>ROUND(I118*H118,2)</f>
        <v>62994.18</v>
      </c>
      <c r="BL118" s="18" t="s">
        <v>191</v>
      </c>
      <c r="BM118" s="149" t="s">
        <v>1534</v>
      </c>
    </row>
    <row r="119" spans="2:65" s="1" customFormat="1" x14ac:dyDescent="0.3">
      <c r="B119" s="33"/>
      <c r="D119" s="151" t="s">
        <v>193</v>
      </c>
      <c r="F119" s="152" t="s">
        <v>250</v>
      </c>
      <c r="I119" s="153"/>
      <c r="L119" s="33"/>
      <c r="M119" s="154"/>
      <c r="T119" s="57"/>
      <c r="AT119" s="18" t="s">
        <v>193</v>
      </c>
      <c r="AU119" s="18" t="s">
        <v>20</v>
      </c>
    </row>
    <row r="120" spans="2:65" s="12" customFormat="1" ht="11.25" x14ac:dyDescent="0.3">
      <c r="B120" s="155"/>
      <c r="D120" s="156" t="s">
        <v>195</v>
      </c>
      <c r="E120" s="157" t="s">
        <v>1</v>
      </c>
      <c r="F120" s="158" t="s">
        <v>1535</v>
      </c>
      <c r="H120" s="159">
        <v>245.4</v>
      </c>
      <c r="I120" s="160"/>
      <c r="L120" s="155"/>
      <c r="M120" s="161"/>
      <c r="T120" s="162"/>
      <c r="AT120" s="157" t="s">
        <v>195</v>
      </c>
      <c r="AU120" s="157" t="s">
        <v>20</v>
      </c>
      <c r="AV120" s="12" t="s">
        <v>20</v>
      </c>
      <c r="AW120" s="12" t="s">
        <v>37</v>
      </c>
      <c r="AX120" s="12" t="s">
        <v>88</v>
      </c>
      <c r="AY120" s="157" t="s">
        <v>184</v>
      </c>
    </row>
    <row r="121" spans="2:65" s="1" customFormat="1" ht="24.2" customHeight="1" x14ac:dyDescent="0.3">
      <c r="B121" s="33"/>
      <c r="C121" s="138" t="s">
        <v>245</v>
      </c>
      <c r="D121" s="138" t="s">
        <v>186</v>
      </c>
      <c r="E121" s="139" t="s">
        <v>253</v>
      </c>
      <c r="F121" s="140" t="s">
        <v>1473</v>
      </c>
      <c r="G121" s="141" t="s">
        <v>217</v>
      </c>
      <c r="H121" s="142">
        <v>122.7</v>
      </c>
      <c r="I121" s="143">
        <v>30.54</v>
      </c>
      <c r="J121" s="144">
        <f>ROUND(I121*H121,2)</f>
        <v>3747.26</v>
      </c>
      <c r="K121" s="140" t="s">
        <v>190</v>
      </c>
      <c r="L121" s="33"/>
      <c r="M121" s="145" t="s">
        <v>1</v>
      </c>
      <c r="N121" s="146" t="s">
        <v>47</v>
      </c>
      <c r="O121" s="147">
        <v>8.9999999999999993E-3</v>
      </c>
      <c r="P121" s="147">
        <f>O121*H121</f>
        <v>1.1042999999999998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AR121" s="149" t="s">
        <v>191</v>
      </c>
      <c r="AT121" s="149" t="s">
        <v>186</v>
      </c>
      <c r="AU121" s="149" t="s">
        <v>20</v>
      </c>
      <c r="AY121" s="18" t="s">
        <v>184</v>
      </c>
      <c r="BE121" s="150">
        <f>IF(N121="základní",J121,0)</f>
        <v>3747.26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8" t="s">
        <v>88</v>
      </c>
      <c r="BK121" s="150">
        <f>ROUND(I121*H121,2)</f>
        <v>3747.26</v>
      </c>
      <c r="BL121" s="18" t="s">
        <v>191</v>
      </c>
      <c r="BM121" s="149" t="s">
        <v>1536</v>
      </c>
    </row>
    <row r="122" spans="2:65" s="1" customFormat="1" x14ac:dyDescent="0.3">
      <c r="B122" s="33"/>
      <c r="D122" s="151" t="s">
        <v>193</v>
      </c>
      <c r="F122" s="152" t="s">
        <v>256</v>
      </c>
      <c r="I122" s="153"/>
      <c r="L122" s="33"/>
      <c r="M122" s="154"/>
      <c r="T122" s="57"/>
      <c r="AT122" s="18" t="s">
        <v>193</v>
      </c>
      <c r="AU122" s="18" t="s">
        <v>20</v>
      </c>
    </row>
    <row r="123" spans="2:65" s="1" customFormat="1" ht="16.5" customHeight="1" x14ac:dyDescent="0.3">
      <c r="B123" s="33"/>
      <c r="C123" s="138" t="s">
        <v>252</v>
      </c>
      <c r="D123" s="138" t="s">
        <v>186</v>
      </c>
      <c r="E123" s="139" t="s">
        <v>258</v>
      </c>
      <c r="F123" s="140" t="s">
        <v>1475</v>
      </c>
      <c r="G123" s="141" t="s">
        <v>189</v>
      </c>
      <c r="H123" s="142">
        <v>409</v>
      </c>
      <c r="I123" s="143">
        <v>38.18</v>
      </c>
      <c r="J123" s="144">
        <f>ROUND(I123*H123,2)</f>
        <v>15615.62</v>
      </c>
      <c r="K123" s="140" t="s">
        <v>190</v>
      </c>
      <c r="L123" s="33"/>
      <c r="M123" s="145" t="s">
        <v>1</v>
      </c>
      <c r="N123" s="146" t="s">
        <v>47</v>
      </c>
      <c r="O123" s="147">
        <v>2.9000000000000001E-2</v>
      </c>
      <c r="P123" s="147">
        <f>O123*H123</f>
        <v>11.861000000000001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49" t="s">
        <v>191</v>
      </c>
      <c r="AT123" s="149" t="s">
        <v>186</v>
      </c>
      <c r="AU123" s="149" t="s">
        <v>20</v>
      </c>
      <c r="AY123" s="18" t="s">
        <v>184</v>
      </c>
      <c r="BE123" s="150">
        <f>IF(N123="základní",J123,0)</f>
        <v>15615.62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8" t="s">
        <v>88</v>
      </c>
      <c r="BK123" s="150">
        <f>ROUND(I123*H123,2)</f>
        <v>15615.62</v>
      </c>
      <c r="BL123" s="18" t="s">
        <v>191</v>
      </c>
      <c r="BM123" s="149" t="s">
        <v>1537</v>
      </c>
    </row>
    <row r="124" spans="2:65" s="1" customFormat="1" x14ac:dyDescent="0.3">
      <c r="B124" s="33"/>
      <c r="D124" s="151" t="s">
        <v>193</v>
      </c>
      <c r="F124" s="152" t="s">
        <v>1477</v>
      </c>
      <c r="I124" s="153"/>
      <c r="L124" s="33"/>
      <c r="M124" s="154"/>
      <c r="T124" s="57"/>
      <c r="AT124" s="18" t="s">
        <v>193</v>
      </c>
      <c r="AU124" s="18" t="s">
        <v>20</v>
      </c>
    </row>
    <row r="125" spans="2:65" s="1" customFormat="1" ht="19.5" x14ac:dyDescent="0.3">
      <c r="B125" s="33"/>
      <c r="D125" s="156" t="s">
        <v>236</v>
      </c>
      <c r="F125" s="170" t="s">
        <v>261</v>
      </c>
      <c r="I125" s="153"/>
      <c r="L125" s="33"/>
      <c r="M125" s="154"/>
      <c r="T125" s="57"/>
      <c r="AT125" s="18" t="s">
        <v>236</v>
      </c>
      <c r="AU125" s="18" t="s">
        <v>20</v>
      </c>
    </row>
    <row r="126" spans="2:65" s="12" customFormat="1" ht="11.25" x14ac:dyDescent="0.3">
      <c r="B126" s="155"/>
      <c r="D126" s="156" t="s">
        <v>195</v>
      </c>
      <c r="E126" s="157" t="s">
        <v>1</v>
      </c>
      <c r="F126" s="158" t="s">
        <v>1538</v>
      </c>
      <c r="H126" s="159">
        <v>409</v>
      </c>
      <c r="I126" s="160"/>
      <c r="L126" s="155"/>
      <c r="M126" s="161"/>
      <c r="T126" s="162"/>
      <c r="AT126" s="157" t="s">
        <v>195</v>
      </c>
      <c r="AU126" s="157" t="s">
        <v>20</v>
      </c>
      <c r="AV126" s="12" t="s">
        <v>20</v>
      </c>
      <c r="AW126" s="12" t="s">
        <v>37</v>
      </c>
      <c r="AX126" s="12" t="s">
        <v>88</v>
      </c>
      <c r="AY126" s="157" t="s">
        <v>184</v>
      </c>
    </row>
    <row r="127" spans="2:65" s="11" customFormat="1" ht="22.9" customHeight="1" x14ac:dyDescent="0.2">
      <c r="B127" s="127"/>
      <c r="D127" s="128" t="s">
        <v>80</v>
      </c>
      <c r="E127" s="136" t="s">
        <v>20</v>
      </c>
      <c r="F127" s="136" t="s">
        <v>1539</v>
      </c>
      <c r="I127" s="171"/>
      <c r="J127" s="137">
        <f>BK127</f>
        <v>6613.34</v>
      </c>
      <c r="L127" s="127"/>
      <c r="M127" s="131"/>
      <c r="P127" s="132">
        <f>SUM(P128:P130)</f>
        <v>7.8220000000000001</v>
      </c>
      <c r="R127" s="132">
        <f>SUM(R128:R130)</f>
        <v>2.5504500000000001</v>
      </c>
      <c r="T127" s="133">
        <f>SUM(T128:T130)</f>
        <v>0</v>
      </c>
      <c r="AR127" s="128" t="s">
        <v>88</v>
      </c>
      <c r="AT127" s="134" t="s">
        <v>80</v>
      </c>
      <c r="AU127" s="134" t="s">
        <v>88</v>
      </c>
      <c r="AY127" s="128" t="s">
        <v>184</v>
      </c>
      <c r="BK127" s="135">
        <f>SUM(BK128:BK130)</f>
        <v>6613.34</v>
      </c>
    </row>
    <row r="128" spans="2:65" s="1" customFormat="1" ht="24.2" customHeight="1" x14ac:dyDescent="0.3">
      <c r="B128" s="33"/>
      <c r="C128" s="138" t="s">
        <v>257</v>
      </c>
      <c r="D128" s="138" t="s">
        <v>186</v>
      </c>
      <c r="E128" s="139" t="s">
        <v>1540</v>
      </c>
      <c r="F128" s="140" t="s">
        <v>1541</v>
      </c>
      <c r="G128" s="141" t="s">
        <v>217</v>
      </c>
      <c r="H128" s="142">
        <v>1</v>
      </c>
      <c r="I128" s="143">
        <v>6613.34</v>
      </c>
      <c r="J128" s="144">
        <f>ROUND(I128*H128,2)</f>
        <v>6613.34</v>
      </c>
      <c r="K128" s="140" t="s">
        <v>190</v>
      </c>
      <c r="L128" s="33"/>
      <c r="M128" s="145" t="s">
        <v>1</v>
      </c>
      <c r="N128" s="146" t="s">
        <v>47</v>
      </c>
      <c r="O128" s="147">
        <v>7.8220000000000001</v>
      </c>
      <c r="P128" s="147">
        <f>O128*H128</f>
        <v>7.8220000000000001</v>
      </c>
      <c r="Q128" s="147">
        <v>2.5504500000000001</v>
      </c>
      <c r="R128" s="147">
        <f>Q128*H128</f>
        <v>2.5504500000000001</v>
      </c>
      <c r="S128" s="147">
        <v>0</v>
      </c>
      <c r="T128" s="148">
        <f>S128*H128</f>
        <v>0</v>
      </c>
      <c r="AR128" s="149" t="s">
        <v>191</v>
      </c>
      <c r="AT128" s="149" t="s">
        <v>186</v>
      </c>
      <c r="AU128" s="149" t="s">
        <v>20</v>
      </c>
      <c r="AY128" s="18" t="s">
        <v>184</v>
      </c>
      <c r="BE128" s="150">
        <f>IF(N128="základní",J128,0)</f>
        <v>6613.34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6613.34</v>
      </c>
      <c r="BL128" s="18" t="s">
        <v>191</v>
      </c>
      <c r="BM128" s="149" t="s">
        <v>1542</v>
      </c>
    </row>
    <row r="129" spans="2:65" s="1" customFormat="1" x14ac:dyDescent="0.3">
      <c r="B129" s="33"/>
      <c r="D129" s="151" t="s">
        <v>193</v>
      </c>
      <c r="F129" s="152" t="s">
        <v>1543</v>
      </c>
      <c r="I129" s="153"/>
      <c r="L129" s="33"/>
      <c r="M129" s="154"/>
      <c r="T129" s="57"/>
      <c r="AT129" s="18" t="s">
        <v>193</v>
      </c>
      <c r="AU129" s="18" t="s">
        <v>20</v>
      </c>
    </row>
    <row r="130" spans="2:65" s="1" customFormat="1" ht="19.5" x14ac:dyDescent="0.3">
      <c r="B130" s="33"/>
      <c r="D130" s="156" t="s">
        <v>236</v>
      </c>
      <c r="F130" s="170" t="s">
        <v>1544</v>
      </c>
      <c r="I130" s="153"/>
      <c r="L130" s="33"/>
      <c r="M130" s="154"/>
      <c r="T130" s="57"/>
      <c r="AT130" s="18" t="s">
        <v>236</v>
      </c>
      <c r="AU130" s="18" t="s">
        <v>20</v>
      </c>
    </row>
    <row r="131" spans="2:65" s="11" customFormat="1" ht="22.9" customHeight="1" x14ac:dyDescent="0.2">
      <c r="B131" s="127"/>
      <c r="D131" s="128" t="s">
        <v>80</v>
      </c>
      <c r="E131" s="136" t="s">
        <v>214</v>
      </c>
      <c r="F131" s="136" t="s">
        <v>263</v>
      </c>
      <c r="I131" s="171"/>
      <c r="J131" s="137">
        <f>BK131</f>
        <v>842109.85000000009</v>
      </c>
      <c r="L131" s="127"/>
      <c r="M131" s="131"/>
      <c r="P131" s="132">
        <f>SUM(P132:P154)</f>
        <v>237.404</v>
      </c>
      <c r="R131" s="132">
        <f>SUM(R132:R154)</f>
        <v>335.49934919999998</v>
      </c>
      <c r="T131" s="133">
        <f>SUM(T132:T154)</f>
        <v>0</v>
      </c>
      <c r="AR131" s="128" t="s">
        <v>88</v>
      </c>
      <c r="AT131" s="134" t="s">
        <v>80</v>
      </c>
      <c r="AU131" s="134" t="s">
        <v>88</v>
      </c>
      <c r="AY131" s="128" t="s">
        <v>184</v>
      </c>
      <c r="BK131" s="135">
        <f>SUM(BK132:BK154)</f>
        <v>842109.85000000009</v>
      </c>
    </row>
    <row r="132" spans="2:65" s="1" customFormat="1" ht="37.9" customHeight="1" x14ac:dyDescent="0.3">
      <c r="B132" s="33"/>
      <c r="C132" s="138" t="s">
        <v>264</v>
      </c>
      <c r="D132" s="138" t="s">
        <v>186</v>
      </c>
      <c r="E132" s="139" t="s">
        <v>265</v>
      </c>
      <c r="F132" s="140" t="s">
        <v>1479</v>
      </c>
      <c r="G132" s="141" t="s">
        <v>189</v>
      </c>
      <c r="H132" s="142">
        <v>409</v>
      </c>
      <c r="I132" s="143">
        <v>360.97</v>
      </c>
      <c r="J132" s="144">
        <f>ROUND(I132*H132,2)</f>
        <v>147636.73000000001</v>
      </c>
      <c r="K132" s="140" t="s">
        <v>190</v>
      </c>
      <c r="L132" s="33"/>
      <c r="M132" s="145" t="s">
        <v>1</v>
      </c>
      <c r="N132" s="146" t="s">
        <v>47</v>
      </c>
      <c r="O132" s="147">
        <v>4.4999999999999998E-2</v>
      </c>
      <c r="P132" s="147">
        <f>O132*H132</f>
        <v>18.404999999999998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191</v>
      </c>
      <c r="AT132" s="149" t="s">
        <v>186</v>
      </c>
      <c r="AU132" s="149" t="s">
        <v>20</v>
      </c>
      <c r="AY132" s="18" t="s">
        <v>184</v>
      </c>
      <c r="BE132" s="150">
        <f>IF(N132="základní",J132,0)</f>
        <v>147636.73000000001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8" t="s">
        <v>88</v>
      </c>
      <c r="BK132" s="150">
        <f>ROUND(I132*H132,2)</f>
        <v>147636.73000000001</v>
      </c>
      <c r="BL132" s="18" t="s">
        <v>191</v>
      </c>
      <c r="BM132" s="149" t="s">
        <v>1545</v>
      </c>
    </row>
    <row r="133" spans="2:65" s="1" customFormat="1" x14ac:dyDescent="0.3">
      <c r="B133" s="33"/>
      <c r="D133" s="151" t="s">
        <v>193</v>
      </c>
      <c r="F133" s="152" t="s">
        <v>268</v>
      </c>
      <c r="I133" s="153"/>
      <c r="L133" s="33"/>
      <c r="M133" s="154"/>
      <c r="T133" s="57"/>
      <c r="AT133" s="18" t="s">
        <v>193</v>
      </c>
      <c r="AU133" s="18" t="s">
        <v>20</v>
      </c>
    </row>
    <row r="134" spans="2:65" s="1" customFormat="1" ht="19.5" x14ac:dyDescent="0.3">
      <c r="B134" s="33"/>
      <c r="D134" s="156" t="s">
        <v>236</v>
      </c>
      <c r="F134" s="170" t="s">
        <v>261</v>
      </c>
      <c r="I134" s="153"/>
      <c r="L134" s="33"/>
      <c r="M134" s="154"/>
      <c r="T134" s="57"/>
      <c r="AT134" s="18" t="s">
        <v>236</v>
      </c>
      <c r="AU134" s="18" t="s">
        <v>20</v>
      </c>
    </row>
    <row r="135" spans="2:65" s="12" customFormat="1" ht="11.25" x14ac:dyDescent="0.3">
      <c r="B135" s="155"/>
      <c r="D135" s="156" t="s">
        <v>195</v>
      </c>
      <c r="E135" s="157" t="s">
        <v>1</v>
      </c>
      <c r="F135" s="158" t="s">
        <v>1546</v>
      </c>
      <c r="H135" s="159">
        <v>409</v>
      </c>
      <c r="I135" s="160"/>
      <c r="L135" s="155"/>
      <c r="M135" s="161"/>
      <c r="T135" s="162"/>
      <c r="AT135" s="157" t="s">
        <v>195</v>
      </c>
      <c r="AU135" s="157" t="s">
        <v>20</v>
      </c>
      <c r="AV135" s="12" t="s">
        <v>20</v>
      </c>
      <c r="AW135" s="12" t="s">
        <v>37</v>
      </c>
      <c r="AX135" s="12" t="s">
        <v>88</v>
      </c>
      <c r="AY135" s="157" t="s">
        <v>184</v>
      </c>
    </row>
    <row r="136" spans="2:65" s="1" customFormat="1" ht="16.5" customHeight="1" x14ac:dyDescent="0.3">
      <c r="B136" s="33"/>
      <c r="C136" s="172" t="s">
        <v>270</v>
      </c>
      <c r="D136" s="172" t="s">
        <v>271</v>
      </c>
      <c r="E136" s="173" t="s">
        <v>272</v>
      </c>
      <c r="F136" s="174" t="s">
        <v>273</v>
      </c>
      <c r="G136" s="175" t="s">
        <v>248</v>
      </c>
      <c r="H136" s="176">
        <v>9.8160000000000007</v>
      </c>
      <c r="I136" s="177">
        <v>7944.6</v>
      </c>
      <c r="J136" s="178">
        <f>ROUND(I136*H136,2)</f>
        <v>77984.19</v>
      </c>
      <c r="K136" s="174" t="s">
        <v>190</v>
      </c>
      <c r="L136" s="179"/>
      <c r="M136" s="180" t="s">
        <v>1</v>
      </c>
      <c r="N136" s="181" t="s">
        <v>47</v>
      </c>
      <c r="O136" s="147">
        <v>0</v>
      </c>
      <c r="P136" s="147">
        <f>O136*H136</f>
        <v>0</v>
      </c>
      <c r="Q136" s="147">
        <v>1</v>
      </c>
      <c r="R136" s="147">
        <f>Q136*H136</f>
        <v>9.8160000000000007</v>
      </c>
      <c r="S136" s="147">
        <v>0</v>
      </c>
      <c r="T136" s="148">
        <f>S136*H136</f>
        <v>0</v>
      </c>
      <c r="AR136" s="149" t="s">
        <v>239</v>
      </c>
      <c r="AT136" s="149" t="s">
        <v>271</v>
      </c>
      <c r="AU136" s="149" t="s">
        <v>20</v>
      </c>
      <c r="AY136" s="18" t="s">
        <v>184</v>
      </c>
      <c r="BE136" s="150">
        <f>IF(N136="základní",J136,0)</f>
        <v>77984.19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8" t="s">
        <v>88</v>
      </c>
      <c r="BK136" s="150">
        <f>ROUND(I136*H136,2)</f>
        <v>77984.19</v>
      </c>
      <c r="BL136" s="18" t="s">
        <v>191</v>
      </c>
      <c r="BM136" s="149" t="s">
        <v>1547</v>
      </c>
    </row>
    <row r="137" spans="2:65" s="12" customFormat="1" ht="11.25" x14ac:dyDescent="0.3">
      <c r="B137" s="155"/>
      <c r="D137" s="156" t="s">
        <v>195</v>
      </c>
      <c r="E137" s="157" t="s">
        <v>1</v>
      </c>
      <c r="F137" s="158" t="s">
        <v>1548</v>
      </c>
      <c r="H137" s="159">
        <v>9.8160000000000007</v>
      </c>
      <c r="I137" s="160"/>
      <c r="L137" s="155"/>
      <c r="M137" s="161"/>
      <c r="T137" s="162"/>
      <c r="AT137" s="157" t="s">
        <v>195</v>
      </c>
      <c r="AU137" s="157" t="s">
        <v>20</v>
      </c>
      <c r="AV137" s="12" t="s">
        <v>20</v>
      </c>
      <c r="AW137" s="12" t="s">
        <v>37</v>
      </c>
      <c r="AX137" s="12" t="s">
        <v>88</v>
      </c>
      <c r="AY137" s="157" t="s">
        <v>184</v>
      </c>
    </row>
    <row r="138" spans="2:65" s="1" customFormat="1" ht="21.75" customHeight="1" x14ac:dyDescent="0.3">
      <c r="B138" s="33"/>
      <c r="C138" s="138" t="s">
        <v>276</v>
      </c>
      <c r="D138" s="138" t="s">
        <v>186</v>
      </c>
      <c r="E138" s="139" t="s">
        <v>277</v>
      </c>
      <c r="F138" s="140" t="s">
        <v>1549</v>
      </c>
      <c r="G138" s="141" t="s">
        <v>189</v>
      </c>
      <c r="H138" s="142">
        <v>409</v>
      </c>
      <c r="I138" s="143">
        <v>392.36</v>
      </c>
      <c r="J138" s="144">
        <f>ROUND(I138*H138,2)</f>
        <v>160475.24</v>
      </c>
      <c r="K138" s="140" t="s">
        <v>190</v>
      </c>
      <c r="L138" s="33"/>
      <c r="M138" s="145" t="s">
        <v>1</v>
      </c>
      <c r="N138" s="146" t="s">
        <v>47</v>
      </c>
      <c r="O138" s="147">
        <v>3.1E-2</v>
      </c>
      <c r="P138" s="147">
        <f>O138*H138</f>
        <v>12.679</v>
      </c>
      <c r="Q138" s="147">
        <v>0.57499999999999996</v>
      </c>
      <c r="R138" s="147">
        <f>Q138*H138</f>
        <v>235.17499999999998</v>
      </c>
      <c r="S138" s="147">
        <v>0</v>
      </c>
      <c r="T138" s="148">
        <f>S138*H138</f>
        <v>0</v>
      </c>
      <c r="AR138" s="149" t="s">
        <v>191</v>
      </c>
      <c r="AT138" s="149" t="s">
        <v>186</v>
      </c>
      <c r="AU138" s="149" t="s">
        <v>20</v>
      </c>
      <c r="AY138" s="18" t="s">
        <v>184</v>
      </c>
      <c r="BE138" s="150">
        <f>IF(N138="základní",J138,0)</f>
        <v>160475.24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8" t="s">
        <v>88</v>
      </c>
      <c r="BK138" s="150">
        <f>ROUND(I138*H138,2)</f>
        <v>160475.24</v>
      </c>
      <c r="BL138" s="18" t="s">
        <v>191</v>
      </c>
      <c r="BM138" s="149" t="s">
        <v>1550</v>
      </c>
    </row>
    <row r="139" spans="2:65" s="1" customFormat="1" x14ac:dyDescent="0.3">
      <c r="B139" s="33"/>
      <c r="D139" s="151" t="s">
        <v>193</v>
      </c>
      <c r="F139" s="152" t="s">
        <v>280</v>
      </c>
      <c r="I139" s="153"/>
      <c r="L139" s="33"/>
      <c r="M139" s="154"/>
      <c r="T139" s="57"/>
      <c r="AT139" s="18" t="s">
        <v>193</v>
      </c>
      <c r="AU139" s="18" t="s">
        <v>20</v>
      </c>
    </row>
    <row r="140" spans="2:65" s="1" customFormat="1" ht="19.5" x14ac:dyDescent="0.3">
      <c r="B140" s="33"/>
      <c r="D140" s="156" t="s">
        <v>236</v>
      </c>
      <c r="F140" s="170" t="s">
        <v>281</v>
      </c>
      <c r="I140" s="153"/>
      <c r="L140" s="33"/>
      <c r="M140" s="154"/>
      <c r="T140" s="57"/>
      <c r="AT140" s="18" t="s">
        <v>236</v>
      </c>
      <c r="AU140" s="18" t="s">
        <v>20</v>
      </c>
    </row>
    <row r="141" spans="2:65" s="12" customFormat="1" ht="11.25" x14ac:dyDescent="0.3">
      <c r="B141" s="155"/>
      <c r="D141" s="156" t="s">
        <v>195</v>
      </c>
      <c r="E141" s="157" t="s">
        <v>1</v>
      </c>
      <c r="F141" s="158" t="s">
        <v>1546</v>
      </c>
      <c r="H141" s="159">
        <v>409</v>
      </c>
      <c r="I141" s="160"/>
      <c r="L141" s="155"/>
      <c r="M141" s="161"/>
      <c r="T141" s="162"/>
      <c r="AT141" s="157" t="s">
        <v>195</v>
      </c>
      <c r="AU141" s="157" t="s">
        <v>20</v>
      </c>
      <c r="AV141" s="12" t="s">
        <v>20</v>
      </c>
      <c r="AW141" s="12" t="s">
        <v>37</v>
      </c>
      <c r="AX141" s="12" t="s">
        <v>88</v>
      </c>
      <c r="AY141" s="157" t="s">
        <v>184</v>
      </c>
    </row>
    <row r="142" spans="2:65" s="1" customFormat="1" ht="37.9" customHeight="1" x14ac:dyDescent="0.3">
      <c r="B142" s="33"/>
      <c r="C142" s="138" t="s">
        <v>7</v>
      </c>
      <c r="D142" s="138" t="s">
        <v>186</v>
      </c>
      <c r="E142" s="139" t="s">
        <v>282</v>
      </c>
      <c r="F142" s="140" t="s">
        <v>1551</v>
      </c>
      <c r="G142" s="141" t="s">
        <v>189</v>
      </c>
      <c r="H142" s="142">
        <v>408.56</v>
      </c>
      <c r="I142" s="143">
        <v>674.88</v>
      </c>
      <c r="J142" s="144">
        <f>ROUND(I142*H142,2)</f>
        <v>275728.96999999997</v>
      </c>
      <c r="K142" s="140" t="s">
        <v>190</v>
      </c>
      <c r="L142" s="33"/>
      <c r="M142" s="145" t="s">
        <v>1</v>
      </c>
      <c r="N142" s="146" t="s">
        <v>47</v>
      </c>
      <c r="O142" s="147">
        <v>0.5</v>
      </c>
      <c r="P142" s="147">
        <f>O142*H142</f>
        <v>204.28</v>
      </c>
      <c r="Q142" s="147">
        <v>8.9219999999999994E-2</v>
      </c>
      <c r="R142" s="147">
        <f>Q142*H142</f>
        <v>36.451723199999996</v>
      </c>
      <c r="S142" s="147">
        <v>0</v>
      </c>
      <c r="T142" s="148">
        <f>S142*H142</f>
        <v>0</v>
      </c>
      <c r="AR142" s="149" t="s">
        <v>191</v>
      </c>
      <c r="AT142" s="149" t="s">
        <v>186</v>
      </c>
      <c r="AU142" s="149" t="s">
        <v>20</v>
      </c>
      <c r="AY142" s="18" t="s">
        <v>184</v>
      </c>
      <c r="BE142" s="150">
        <f>IF(N142="základní",J142,0)</f>
        <v>275728.96999999997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8" t="s">
        <v>88</v>
      </c>
      <c r="BK142" s="150">
        <f>ROUND(I142*H142,2)</f>
        <v>275728.96999999997</v>
      </c>
      <c r="BL142" s="18" t="s">
        <v>191</v>
      </c>
      <c r="BM142" s="149" t="s">
        <v>1552</v>
      </c>
    </row>
    <row r="143" spans="2:65" s="1" customFormat="1" x14ac:dyDescent="0.3">
      <c r="B143" s="33"/>
      <c r="D143" s="151" t="s">
        <v>193</v>
      </c>
      <c r="F143" s="152" t="s">
        <v>285</v>
      </c>
      <c r="I143" s="153"/>
      <c r="L143" s="33"/>
      <c r="M143" s="154"/>
      <c r="T143" s="57"/>
      <c r="AT143" s="18" t="s">
        <v>193</v>
      </c>
      <c r="AU143" s="18" t="s">
        <v>20</v>
      </c>
    </row>
    <row r="144" spans="2:65" s="12" customFormat="1" ht="11.25" x14ac:dyDescent="0.3">
      <c r="B144" s="155"/>
      <c r="D144" s="156" t="s">
        <v>195</v>
      </c>
      <c r="E144" s="157" t="s">
        <v>1</v>
      </c>
      <c r="F144" s="158" t="s">
        <v>1553</v>
      </c>
      <c r="H144" s="159">
        <v>408.56</v>
      </c>
      <c r="I144" s="160"/>
      <c r="L144" s="155"/>
      <c r="M144" s="161"/>
      <c r="T144" s="162"/>
      <c r="AT144" s="157" t="s">
        <v>195</v>
      </c>
      <c r="AU144" s="157" t="s">
        <v>20</v>
      </c>
      <c r="AV144" s="12" t="s">
        <v>20</v>
      </c>
      <c r="AW144" s="12" t="s">
        <v>37</v>
      </c>
      <c r="AX144" s="12" t="s">
        <v>88</v>
      </c>
      <c r="AY144" s="157" t="s">
        <v>184</v>
      </c>
    </row>
    <row r="145" spans="2:65" s="1" customFormat="1" ht="16.5" customHeight="1" x14ac:dyDescent="0.3">
      <c r="B145" s="33"/>
      <c r="C145" s="172" t="s">
        <v>287</v>
      </c>
      <c r="D145" s="172" t="s">
        <v>271</v>
      </c>
      <c r="E145" s="173" t="s">
        <v>288</v>
      </c>
      <c r="F145" s="174" t="s">
        <v>289</v>
      </c>
      <c r="G145" s="175" t="s">
        <v>189</v>
      </c>
      <c r="H145" s="176">
        <v>383.67899999999997</v>
      </c>
      <c r="I145" s="177">
        <v>363.8</v>
      </c>
      <c r="J145" s="178">
        <f>ROUND(I145*H145,2)</f>
        <v>139582.42000000001</v>
      </c>
      <c r="K145" s="174" t="s">
        <v>190</v>
      </c>
      <c r="L145" s="179"/>
      <c r="M145" s="180" t="s">
        <v>1</v>
      </c>
      <c r="N145" s="181" t="s">
        <v>47</v>
      </c>
      <c r="O145" s="147">
        <v>0</v>
      </c>
      <c r="P145" s="147">
        <f>O145*H145</f>
        <v>0</v>
      </c>
      <c r="Q145" s="147">
        <v>0.13100000000000001</v>
      </c>
      <c r="R145" s="147">
        <f>Q145*H145</f>
        <v>50.261949000000001</v>
      </c>
      <c r="S145" s="147">
        <v>0</v>
      </c>
      <c r="T145" s="148">
        <f>S145*H145</f>
        <v>0</v>
      </c>
      <c r="AR145" s="149" t="s">
        <v>239</v>
      </c>
      <c r="AT145" s="149" t="s">
        <v>271</v>
      </c>
      <c r="AU145" s="149" t="s">
        <v>20</v>
      </c>
      <c r="AY145" s="18" t="s">
        <v>184</v>
      </c>
      <c r="BE145" s="150">
        <f>IF(N145="základní",J145,0)</f>
        <v>139582.42000000001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8" t="s">
        <v>88</v>
      </c>
      <c r="BK145" s="150">
        <f>ROUND(I145*H145,2)</f>
        <v>139582.42000000001</v>
      </c>
      <c r="BL145" s="18" t="s">
        <v>191</v>
      </c>
      <c r="BM145" s="149" t="s">
        <v>1554</v>
      </c>
    </row>
    <row r="146" spans="2:65" s="12" customFormat="1" ht="11.25" x14ac:dyDescent="0.3">
      <c r="B146" s="155"/>
      <c r="D146" s="156" t="s">
        <v>195</v>
      </c>
      <c r="E146" s="157" t="s">
        <v>1</v>
      </c>
      <c r="F146" s="158" t="s">
        <v>1555</v>
      </c>
      <c r="H146" s="159">
        <v>379.88</v>
      </c>
      <c r="I146" s="160"/>
      <c r="L146" s="155"/>
      <c r="M146" s="161"/>
      <c r="T146" s="162"/>
      <c r="AT146" s="157" t="s">
        <v>195</v>
      </c>
      <c r="AU146" s="157" t="s">
        <v>20</v>
      </c>
      <c r="AV146" s="12" t="s">
        <v>20</v>
      </c>
      <c r="AW146" s="12" t="s">
        <v>37</v>
      </c>
      <c r="AX146" s="12" t="s">
        <v>81</v>
      </c>
      <c r="AY146" s="157" t="s">
        <v>184</v>
      </c>
    </row>
    <row r="147" spans="2:65" s="12" customFormat="1" ht="11.25" x14ac:dyDescent="0.3">
      <c r="B147" s="155"/>
      <c r="D147" s="156" t="s">
        <v>195</v>
      </c>
      <c r="E147" s="157" t="s">
        <v>1</v>
      </c>
      <c r="F147" s="158" t="s">
        <v>1556</v>
      </c>
      <c r="H147" s="159">
        <v>383.67899999999997</v>
      </c>
      <c r="I147" s="160"/>
      <c r="L147" s="155"/>
      <c r="M147" s="161"/>
      <c r="T147" s="162"/>
      <c r="AT147" s="157" t="s">
        <v>195</v>
      </c>
      <c r="AU147" s="157" t="s">
        <v>20</v>
      </c>
      <c r="AV147" s="12" t="s">
        <v>20</v>
      </c>
      <c r="AW147" s="12" t="s">
        <v>37</v>
      </c>
      <c r="AX147" s="12" t="s">
        <v>88</v>
      </c>
      <c r="AY147" s="157" t="s">
        <v>184</v>
      </c>
    </row>
    <row r="148" spans="2:65" s="1" customFormat="1" ht="16.5" customHeight="1" x14ac:dyDescent="0.3">
      <c r="B148" s="33"/>
      <c r="C148" s="172" t="s">
        <v>293</v>
      </c>
      <c r="D148" s="172" t="s">
        <v>271</v>
      </c>
      <c r="E148" s="173" t="s">
        <v>294</v>
      </c>
      <c r="F148" s="174" t="s">
        <v>295</v>
      </c>
      <c r="G148" s="175" t="s">
        <v>189</v>
      </c>
      <c r="H148" s="176">
        <v>28.966999999999999</v>
      </c>
      <c r="I148" s="177">
        <v>613.01</v>
      </c>
      <c r="J148" s="178">
        <f>ROUND(I148*H148,2)</f>
        <v>17757.060000000001</v>
      </c>
      <c r="K148" s="174" t="s">
        <v>190</v>
      </c>
      <c r="L148" s="179"/>
      <c r="M148" s="180" t="s">
        <v>1</v>
      </c>
      <c r="N148" s="181" t="s">
        <v>47</v>
      </c>
      <c r="O148" s="147">
        <v>0</v>
      </c>
      <c r="P148" s="147">
        <f>O148*H148</f>
        <v>0</v>
      </c>
      <c r="Q148" s="147">
        <v>0.13100000000000001</v>
      </c>
      <c r="R148" s="147">
        <f>Q148*H148</f>
        <v>3.7946770000000001</v>
      </c>
      <c r="S148" s="147">
        <v>0</v>
      </c>
      <c r="T148" s="148">
        <f>S148*H148</f>
        <v>0</v>
      </c>
      <c r="AR148" s="149" t="s">
        <v>239</v>
      </c>
      <c r="AT148" s="149" t="s">
        <v>271</v>
      </c>
      <c r="AU148" s="149" t="s">
        <v>20</v>
      </c>
      <c r="AY148" s="18" t="s">
        <v>184</v>
      </c>
      <c r="BE148" s="150">
        <f>IF(N148="základní",J148,0)</f>
        <v>17757.060000000001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8" t="s">
        <v>88</v>
      </c>
      <c r="BK148" s="150">
        <f>ROUND(I148*H148,2)</f>
        <v>17757.060000000001</v>
      </c>
      <c r="BL148" s="18" t="s">
        <v>191</v>
      </c>
      <c r="BM148" s="149" t="s">
        <v>1557</v>
      </c>
    </row>
    <row r="149" spans="2:65" s="12" customFormat="1" ht="11.25" x14ac:dyDescent="0.3">
      <c r="B149" s="155"/>
      <c r="D149" s="156" t="s">
        <v>195</v>
      </c>
      <c r="E149" s="157" t="s">
        <v>1</v>
      </c>
      <c r="F149" s="158" t="s">
        <v>1558</v>
      </c>
      <c r="H149" s="159">
        <v>16.47</v>
      </c>
      <c r="I149" s="160"/>
      <c r="L149" s="155"/>
      <c r="M149" s="161"/>
      <c r="T149" s="162"/>
      <c r="AT149" s="157" t="s">
        <v>195</v>
      </c>
      <c r="AU149" s="157" t="s">
        <v>20</v>
      </c>
      <c r="AV149" s="12" t="s">
        <v>20</v>
      </c>
      <c r="AW149" s="12" t="s">
        <v>37</v>
      </c>
      <c r="AX149" s="12" t="s">
        <v>81</v>
      </c>
      <c r="AY149" s="157" t="s">
        <v>184</v>
      </c>
    </row>
    <row r="150" spans="2:65" s="12" customFormat="1" ht="11.25" x14ac:dyDescent="0.3">
      <c r="B150" s="155"/>
      <c r="D150" s="156" t="s">
        <v>195</v>
      </c>
      <c r="E150" s="157" t="s">
        <v>1</v>
      </c>
      <c r="F150" s="158" t="s">
        <v>1559</v>
      </c>
      <c r="H150" s="159">
        <v>12.21</v>
      </c>
      <c r="I150" s="160"/>
      <c r="L150" s="155"/>
      <c r="M150" s="161"/>
      <c r="T150" s="162"/>
      <c r="AT150" s="157" t="s">
        <v>195</v>
      </c>
      <c r="AU150" s="157" t="s">
        <v>20</v>
      </c>
      <c r="AV150" s="12" t="s">
        <v>20</v>
      </c>
      <c r="AW150" s="12" t="s">
        <v>37</v>
      </c>
      <c r="AX150" s="12" t="s">
        <v>81</v>
      </c>
      <c r="AY150" s="157" t="s">
        <v>184</v>
      </c>
    </row>
    <row r="151" spans="2:65" s="13" customFormat="1" ht="11.25" x14ac:dyDescent="0.3">
      <c r="B151" s="163"/>
      <c r="D151" s="156" t="s">
        <v>195</v>
      </c>
      <c r="E151" s="164" t="s">
        <v>1</v>
      </c>
      <c r="F151" s="165" t="s">
        <v>230</v>
      </c>
      <c r="H151" s="166">
        <v>28.68</v>
      </c>
      <c r="I151" s="167"/>
      <c r="L151" s="163"/>
      <c r="M151" s="168"/>
      <c r="T151" s="169"/>
      <c r="AT151" s="164" t="s">
        <v>195</v>
      </c>
      <c r="AU151" s="164" t="s">
        <v>20</v>
      </c>
      <c r="AV151" s="13" t="s">
        <v>191</v>
      </c>
      <c r="AW151" s="13" t="s">
        <v>37</v>
      </c>
      <c r="AX151" s="13" t="s">
        <v>81</v>
      </c>
      <c r="AY151" s="164" t="s">
        <v>184</v>
      </c>
    </row>
    <row r="152" spans="2:65" s="12" customFormat="1" ht="11.25" x14ac:dyDescent="0.3">
      <c r="B152" s="155"/>
      <c r="D152" s="156" t="s">
        <v>195</v>
      </c>
      <c r="E152" s="157" t="s">
        <v>1</v>
      </c>
      <c r="F152" s="158" t="s">
        <v>1560</v>
      </c>
      <c r="H152" s="159">
        <v>28.966999999999999</v>
      </c>
      <c r="I152" s="160"/>
      <c r="L152" s="155"/>
      <c r="M152" s="161"/>
      <c r="T152" s="162"/>
      <c r="AT152" s="157" t="s">
        <v>195</v>
      </c>
      <c r="AU152" s="157" t="s">
        <v>20</v>
      </c>
      <c r="AV152" s="12" t="s">
        <v>20</v>
      </c>
      <c r="AW152" s="12" t="s">
        <v>37</v>
      </c>
      <c r="AX152" s="12" t="s">
        <v>88</v>
      </c>
      <c r="AY152" s="157" t="s">
        <v>184</v>
      </c>
    </row>
    <row r="153" spans="2:65" s="1" customFormat="1" ht="44.25" customHeight="1" x14ac:dyDescent="0.3">
      <c r="B153" s="33"/>
      <c r="C153" s="138" t="s">
        <v>299</v>
      </c>
      <c r="D153" s="138" t="s">
        <v>186</v>
      </c>
      <c r="E153" s="139" t="s">
        <v>300</v>
      </c>
      <c r="F153" s="140" t="s">
        <v>1500</v>
      </c>
      <c r="G153" s="141" t="s">
        <v>189</v>
      </c>
      <c r="H153" s="142">
        <v>34</v>
      </c>
      <c r="I153" s="143">
        <v>674.86</v>
      </c>
      <c r="J153" s="144">
        <f>ROUND(I153*H153,2)</f>
        <v>22945.24</v>
      </c>
      <c r="K153" s="140" t="s">
        <v>190</v>
      </c>
      <c r="L153" s="33"/>
      <c r="M153" s="145" t="s">
        <v>1</v>
      </c>
      <c r="N153" s="146" t="s">
        <v>47</v>
      </c>
      <c r="O153" s="147">
        <v>0.06</v>
      </c>
      <c r="P153" s="147">
        <f>O153*H153</f>
        <v>2.04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191</v>
      </c>
      <c r="AT153" s="149" t="s">
        <v>186</v>
      </c>
      <c r="AU153" s="149" t="s">
        <v>20</v>
      </c>
      <c r="AY153" s="18" t="s">
        <v>184</v>
      </c>
      <c r="BE153" s="150">
        <f>IF(N153="základní",J153,0)</f>
        <v>22945.24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8" t="s">
        <v>88</v>
      </c>
      <c r="BK153" s="150">
        <f>ROUND(I153*H153,2)</f>
        <v>22945.24</v>
      </c>
      <c r="BL153" s="18" t="s">
        <v>191</v>
      </c>
      <c r="BM153" s="149" t="s">
        <v>1561</v>
      </c>
    </row>
    <row r="154" spans="2:65" s="1" customFormat="1" x14ac:dyDescent="0.3">
      <c r="B154" s="33"/>
      <c r="D154" s="151" t="s">
        <v>193</v>
      </c>
      <c r="F154" s="152" t="s">
        <v>303</v>
      </c>
      <c r="I154" s="153"/>
      <c r="L154" s="33"/>
      <c r="M154" s="154"/>
      <c r="T154" s="57"/>
      <c r="AT154" s="18" t="s">
        <v>193</v>
      </c>
      <c r="AU154" s="18" t="s">
        <v>20</v>
      </c>
    </row>
    <row r="155" spans="2:65" s="11" customFormat="1" ht="22.9" customHeight="1" x14ac:dyDescent="0.2">
      <c r="B155" s="127"/>
      <c r="D155" s="128" t="s">
        <v>80</v>
      </c>
      <c r="E155" s="136" t="s">
        <v>245</v>
      </c>
      <c r="F155" s="136" t="s">
        <v>304</v>
      </c>
      <c r="I155" s="171"/>
      <c r="J155" s="137">
        <f>BK155</f>
        <v>160229.25</v>
      </c>
      <c r="L155" s="127"/>
      <c r="M155" s="131"/>
      <c r="P155" s="132">
        <f>SUM(P156:P168)</f>
        <v>44.203049999999998</v>
      </c>
      <c r="R155" s="132">
        <f>SUM(R156:R168)</f>
        <v>32.484417000000001</v>
      </c>
      <c r="T155" s="133">
        <f>SUM(T156:T168)</f>
        <v>0</v>
      </c>
      <c r="AR155" s="128" t="s">
        <v>88</v>
      </c>
      <c r="AT155" s="134" t="s">
        <v>80</v>
      </c>
      <c r="AU155" s="134" t="s">
        <v>88</v>
      </c>
      <c r="AY155" s="128" t="s">
        <v>184</v>
      </c>
      <c r="BK155" s="135">
        <f>SUM(BK156:BK168)</f>
        <v>160229.25</v>
      </c>
    </row>
    <row r="156" spans="2:65" s="1" customFormat="1" ht="24.2" customHeight="1" x14ac:dyDescent="0.3">
      <c r="B156" s="33"/>
      <c r="C156" s="138" t="s">
        <v>305</v>
      </c>
      <c r="D156" s="138" t="s">
        <v>186</v>
      </c>
      <c r="E156" s="139" t="s">
        <v>335</v>
      </c>
      <c r="F156" s="140" t="s">
        <v>1502</v>
      </c>
      <c r="G156" s="141" t="s">
        <v>210</v>
      </c>
      <c r="H156" s="142">
        <v>184.95</v>
      </c>
      <c r="I156" s="143">
        <v>690.56</v>
      </c>
      <c r="J156" s="144">
        <f>ROUND(I156*H156,2)</f>
        <v>127719.07</v>
      </c>
      <c r="K156" s="140" t="s">
        <v>190</v>
      </c>
      <c r="L156" s="33"/>
      <c r="M156" s="145" t="s">
        <v>1</v>
      </c>
      <c r="N156" s="146" t="s">
        <v>47</v>
      </c>
      <c r="O156" s="147">
        <v>0.23899999999999999</v>
      </c>
      <c r="P156" s="147">
        <f>O156*H156</f>
        <v>44.203049999999998</v>
      </c>
      <c r="Q156" s="147">
        <v>0.1295</v>
      </c>
      <c r="R156" s="147">
        <f>Q156*H156</f>
        <v>23.951024999999998</v>
      </c>
      <c r="S156" s="147">
        <v>0</v>
      </c>
      <c r="T156" s="148">
        <f>S156*H156</f>
        <v>0</v>
      </c>
      <c r="AR156" s="149" t="s">
        <v>191</v>
      </c>
      <c r="AT156" s="149" t="s">
        <v>186</v>
      </c>
      <c r="AU156" s="149" t="s">
        <v>20</v>
      </c>
      <c r="AY156" s="18" t="s">
        <v>184</v>
      </c>
      <c r="BE156" s="150">
        <f>IF(N156="základní",J156,0)</f>
        <v>127719.07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8" t="s">
        <v>88</v>
      </c>
      <c r="BK156" s="150">
        <f>ROUND(I156*H156,2)</f>
        <v>127719.07</v>
      </c>
      <c r="BL156" s="18" t="s">
        <v>191</v>
      </c>
      <c r="BM156" s="149" t="s">
        <v>1562</v>
      </c>
    </row>
    <row r="157" spans="2:65" s="1" customFormat="1" x14ac:dyDescent="0.3">
      <c r="B157" s="33"/>
      <c r="D157" s="151" t="s">
        <v>193</v>
      </c>
      <c r="F157" s="152" t="s">
        <v>338</v>
      </c>
      <c r="I157" s="153"/>
      <c r="L157" s="33"/>
      <c r="M157" s="154"/>
      <c r="T157" s="57"/>
      <c r="AT157" s="18" t="s">
        <v>193</v>
      </c>
      <c r="AU157" s="18" t="s">
        <v>20</v>
      </c>
    </row>
    <row r="158" spans="2:65" s="12" customFormat="1" ht="11.25" x14ac:dyDescent="0.3">
      <c r="B158" s="155"/>
      <c r="D158" s="156" t="s">
        <v>195</v>
      </c>
      <c r="E158" s="157" t="s">
        <v>1</v>
      </c>
      <c r="F158" s="158" t="s">
        <v>1563</v>
      </c>
      <c r="H158" s="159">
        <v>184.95</v>
      </c>
      <c r="I158" s="160"/>
      <c r="L158" s="155"/>
      <c r="M158" s="161"/>
      <c r="T158" s="162"/>
      <c r="AT158" s="157" t="s">
        <v>195</v>
      </c>
      <c r="AU158" s="157" t="s">
        <v>20</v>
      </c>
      <c r="AV158" s="12" t="s">
        <v>20</v>
      </c>
      <c r="AW158" s="12" t="s">
        <v>37</v>
      </c>
      <c r="AX158" s="12" t="s">
        <v>88</v>
      </c>
      <c r="AY158" s="157" t="s">
        <v>184</v>
      </c>
    </row>
    <row r="159" spans="2:65" s="1" customFormat="1" ht="16.5" customHeight="1" x14ac:dyDescent="0.3">
      <c r="B159" s="33"/>
      <c r="C159" s="172" t="s">
        <v>311</v>
      </c>
      <c r="D159" s="172" t="s">
        <v>271</v>
      </c>
      <c r="E159" s="173" t="s">
        <v>341</v>
      </c>
      <c r="F159" s="174" t="s">
        <v>342</v>
      </c>
      <c r="G159" s="175" t="s">
        <v>210</v>
      </c>
      <c r="H159" s="176">
        <v>173.92</v>
      </c>
      <c r="I159" s="177">
        <v>174.1</v>
      </c>
      <c r="J159" s="178">
        <f>ROUND(I159*H159,2)</f>
        <v>30279.47</v>
      </c>
      <c r="K159" s="174" t="s">
        <v>190</v>
      </c>
      <c r="L159" s="179"/>
      <c r="M159" s="180" t="s">
        <v>1</v>
      </c>
      <c r="N159" s="181" t="s">
        <v>47</v>
      </c>
      <c r="O159" s="147">
        <v>0</v>
      </c>
      <c r="P159" s="147">
        <f>O159*H159</f>
        <v>0</v>
      </c>
      <c r="Q159" s="147">
        <v>4.4999999999999998E-2</v>
      </c>
      <c r="R159" s="147">
        <f>Q159*H159</f>
        <v>7.8263999999999996</v>
      </c>
      <c r="S159" s="147">
        <v>0</v>
      </c>
      <c r="T159" s="148">
        <f>S159*H159</f>
        <v>0</v>
      </c>
      <c r="AR159" s="149" t="s">
        <v>239</v>
      </c>
      <c r="AT159" s="149" t="s">
        <v>271</v>
      </c>
      <c r="AU159" s="149" t="s">
        <v>20</v>
      </c>
      <c r="AY159" s="18" t="s">
        <v>184</v>
      </c>
      <c r="BE159" s="150">
        <f>IF(N159="základní",J159,0)</f>
        <v>30279.47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8" t="s">
        <v>88</v>
      </c>
      <c r="BK159" s="150">
        <f>ROUND(I159*H159,2)</f>
        <v>30279.47</v>
      </c>
      <c r="BL159" s="18" t="s">
        <v>191</v>
      </c>
      <c r="BM159" s="149" t="s">
        <v>1564</v>
      </c>
    </row>
    <row r="160" spans="2:65" s="12" customFormat="1" ht="33.75" x14ac:dyDescent="0.3">
      <c r="B160" s="155"/>
      <c r="D160" s="156" t="s">
        <v>195</v>
      </c>
      <c r="E160" s="157" t="s">
        <v>1</v>
      </c>
      <c r="F160" s="158" t="s">
        <v>1565</v>
      </c>
      <c r="H160" s="159">
        <v>108.39</v>
      </c>
      <c r="I160" s="160"/>
      <c r="L160" s="155"/>
      <c r="M160" s="161"/>
      <c r="T160" s="162"/>
      <c r="AT160" s="157" t="s">
        <v>195</v>
      </c>
      <c r="AU160" s="157" t="s">
        <v>20</v>
      </c>
      <c r="AV160" s="12" t="s">
        <v>20</v>
      </c>
      <c r="AW160" s="12" t="s">
        <v>37</v>
      </c>
      <c r="AX160" s="12" t="s">
        <v>81</v>
      </c>
      <c r="AY160" s="157" t="s">
        <v>184</v>
      </c>
    </row>
    <row r="161" spans="2:65" s="12" customFormat="1" ht="11.25" x14ac:dyDescent="0.3">
      <c r="B161" s="155"/>
      <c r="D161" s="156" t="s">
        <v>195</v>
      </c>
      <c r="E161" s="157" t="s">
        <v>1</v>
      </c>
      <c r="F161" s="158" t="s">
        <v>1566</v>
      </c>
      <c r="H161" s="159">
        <v>62.12</v>
      </c>
      <c r="I161" s="160"/>
      <c r="L161" s="155"/>
      <c r="M161" s="161"/>
      <c r="T161" s="162"/>
      <c r="AT161" s="157" t="s">
        <v>195</v>
      </c>
      <c r="AU161" s="157" t="s">
        <v>20</v>
      </c>
      <c r="AV161" s="12" t="s">
        <v>20</v>
      </c>
      <c r="AW161" s="12" t="s">
        <v>37</v>
      </c>
      <c r="AX161" s="12" t="s">
        <v>81</v>
      </c>
      <c r="AY161" s="157" t="s">
        <v>184</v>
      </c>
    </row>
    <row r="162" spans="2:65" s="13" customFormat="1" ht="11.25" x14ac:dyDescent="0.3">
      <c r="B162" s="163"/>
      <c r="D162" s="156" t="s">
        <v>195</v>
      </c>
      <c r="E162" s="164" t="s">
        <v>1</v>
      </c>
      <c r="F162" s="165" t="s">
        <v>230</v>
      </c>
      <c r="H162" s="166">
        <v>170.51</v>
      </c>
      <c r="I162" s="167"/>
      <c r="L162" s="163"/>
      <c r="M162" s="168"/>
      <c r="T162" s="169"/>
      <c r="AT162" s="164" t="s">
        <v>195</v>
      </c>
      <c r="AU162" s="164" t="s">
        <v>20</v>
      </c>
      <c r="AV162" s="13" t="s">
        <v>191</v>
      </c>
      <c r="AW162" s="13" t="s">
        <v>37</v>
      </c>
      <c r="AX162" s="13" t="s">
        <v>81</v>
      </c>
      <c r="AY162" s="164" t="s">
        <v>184</v>
      </c>
    </row>
    <row r="163" spans="2:65" s="12" customFormat="1" ht="11.25" x14ac:dyDescent="0.3">
      <c r="B163" s="155"/>
      <c r="D163" s="156" t="s">
        <v>195</v>
      </c>
      <c r="E163" s="157" t="s">
        <v>1</v>
      </c>
      <c r="F163" s="158" t="s">
        <v>1567</v>
      </c>
      <c r="H163" s="159">
        <v>173.92</v>
      </c>
      <c r="I163" s="160"/>
      <c r="L163" s="155"/>
      <c r="M163" s="161"/>
      <c r="T163" s="162"/>
      <c r="AT163" s="157" t="s">
        <v>195</v>
      </c>
      <c r="AU163" s="157" t="s">
        <v>20</v>
      </c>
      <c r="AV163" s="12" t="s">
        <v>20</v>
      </c>
      <c r="AW163" s="12" t="s">
        <v>37</v>
      </c>
      <c r="AX163" s="12" t="s">
        <v>88</v>
      </c>
      <c r="AY163" s="157" t="s">
        <v>184</v>
      </c>
    </row>
    <row r="164" spans="2:65" s="1" customFormat="1" ht="16.5" customHeight="1" x14ac:dyDescent="0.3">
      <c r="B164" s="33"/>
      <c r="C164" s="172" t="s">
        <v>6</v>
      </c>
      <c r="D164" s="172" t="s">
        <v>271</v>
      </c>
      <c r="E164" s="173" t="s">
        <v>347</v>
      </c>
      <c r="F164" s="174" t="s">
        <v>348</v>
      </c>
      <c r="G164" s="175" t="s">
        <v>210</v>
      </c>
      <c r="H164" s="176">
        <v>14.728999999999999</v>
      </c>
      <c r="I164" s="177">
        <v>151.44999999999999</v>
      </c>
      <c r="J164" s="178">
        <f>ROUND(I164*H164,2)</f>
        <v>2230.71</v>
      </c>
      <c r="K164" s="174" t="s">
        <v>190</v>
      </c>
      <c r="L164" s="179"/>
      <c r="M164" s="180" t="s">
        <v>1</v>
      </c>
      <c r="N164" s="181" t="s">
        <v>47</v>
      </c>
      <c r="O164" s="147">
        <v>0</v>
      </c>
      <c r="P164" s="147">
        <f>O164*H164</f>
        <v>0</v>
      </c>
      <c r="Q164" s="147">
        <v>4.8000000000000001E-2</v>
      </c>
      <c r="R164" s="147">
        <f>Q164*H164</f>
        <v>0.70699199999999995</v>
      </c>
      <c r="S164" s="147">
        <v>0</v>
      </c>
      <c r="T164" s="148">
        <f>S164*H164</f>
        <v>0</v>
      </c>
      <c r="AR164" s="149" t="s">
        <v>239</v>
      </c>
      <c r="AT164" s="149" t="s">
        <v>271</v>
      </c>
      <c r="AU164" s="149" t="s">
        <v>20</v>
      </c>
      <c r="AY164" s="18" t="s">
        <v>184</v>
      </c>
      <c r="BE164" s="150">
        <f>IF(N164="základní",J164,0)</f>
        <v>2230.71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8" t="s">
        <v>88</v>
      </c>
      <c r="BK164" s="150">
        <f>ROUND(I164*H164,2)</f>
        <v>2230.71</v>
      </c>
      <c r="BL164" s="18" t="s">
        <v>191</v>
      </c>
      <c r="BM164" s="149" t="s">
        <v>1568</v>
      </c>
    </row>
    <row r="165" spans="2:65" s="12" customFormat="1" ht="11.25" x14ac:dyDescent="0.3">
      <c r="B165" s="155"/>
      <c r="D165" s="156" t="s">
        <v>195</v>
      </c>
      <c r="E165" s="157" t="s">
        <v>1</v>
      </c>
      <c r="F165" s="158" t="s">
        <v>1569</v>
      </c>
      <c r="H165" s="159">
        <v>2.9</v>
      </c>
      <c r="I165" s="160"/>
      <c r="L165" s="155"/>
      <c r="M165" s="161"/>
      <c r="T165" s="162"/>
      <c r="AT165" s="157" t="s">
        <v>195</v>
      </c>
      <c r="AU165" s="157" t="s">
        <v>20</v>
      </c>
      <c r="AV165" s="12" t="s">
        <v>20</v>
      </c>
      <c r="AW165" s="12" t="s">
        <v>37</v>
      </c>
      <c r="AX165" s="12" t="s">
        <v>81</v>
      </c>
      <c r="AY165" s="157" t="s">
        <v>184</v>
      </c>
    </row>
    <row r="166" spans="2:65" s="12" customFormat="1" ht="11.25" x14ac:dyDescent="0.3">
      <c r="B166" s="155"/>
      <c r="D166" s="156" t="s">
        <v>195</v>
      </c>
      <c r="E166" s="157" t="s">
        <v>1</v>
      </c>
      <c r="F166" s="158" t="s">
        <v>1570</v>
      </c>
      <c r="H166" s="159">
        <v>11.54</v>
      </c>
      <c r="I166" s="160"/>
      <c r="L166" s="155"/>
      <c r="M166" s="161"/>
      <c r="T166" s="162"/>
      <c r="AT166" s="157" t="s">
        <v>195</v>
      </c>
      <c r="AU166" s="157" t="s">
        <v>20</v>
      </c>
      <c r="AV166" s="12" t="s">
        <v>20</v>
      </c>
      <c r="AW166" s="12" t="s">
        <v>37</v>
      </c>
      <c r="AX166" s="12" t="s">
        <v>81</v>
      </c>
      <c r="AY166" s="157" t="s">
        <v>184</v>
      </c>
    </row>
    <row r="167" spans="2:65" s="13" customFormat="1" ht="11.25" x14ac:dyDescent="0.3">
      <c r="B167" s="163"/>
      <c r="D167" s="156" t="s">
        <v>195</v>
      </c>
      <c r="E167" s="164" t="s">
        <v>1</v>
      </c>
      <c r="F167" s="165" t="s">
        <v>230</v>
      </c>
      <c r="H167" s="166">
        <v>14.44</v>
      </c>
      <c r="I167" s="167"/>
      <c r="L167" s="163"/>
      <c r="M167" s="168"/>
      <c r="T167" s="169"/>
      <c r="AT167" s="164" t="s">
        <v>195</v>
      </c>
      <c r="AU167" s="164" t="s">
        <v>20</v>
      </c>
      <c r="AV167" s="13" t="s">
        <v>191</v>
      </c>
      <c r="AW167" s="13" t="s">
        <v>37</v>
      </c>
      <c r="AX167" s="13" t="s">
        <v>81</v>
      </c>
      <c r="AY167" s="164" t="s">
        <v>184</v>
      </c>
    </row>
    <row r="168" spans="2:65" s="12" customFormat="1" ht="11.25" x14ac:dyDescent="0.3">
      <c r="B168" s="155"/>
      <c r="D168" s="156" t="s">
        <v>195</v>
      </c>
      <c r="E168" s="157" t="s">
        <v>1</v>
      </c>
      <c r="F168" s="158" t="s">
        <v>1571</v>
      </c>
      <c r="H168" s="159">
        <v>14.728999999999999</v>
      </c>
      <c r="I168" s="160"/>
      <c r="L168" s="155"/>
      <c r="M168" s="161"/>
      <c r="T168" s="162"/>
      <c r="AT168" s="157" t="s">
        <v>195</v>
      </c>
      <c r="AU168" s="157" t="s">
        <v>20</v>
      </c>
      <c r="AV168" s="12" t="s">
        <v>20</v>
      </c>
      <c r="AW168" s="12" t="s">
        <v>37</v>
      </c>
      <c r="AX168" s="12" t="s">
        <v>88</v>
      </c>
      <c r="AY168" s="157" t="s">
        <v>184</v>
      </c>
    </row>
    <row r="169" spans="2:65" s="11" customFormat="1" ht="22.9" customHeight="1" x14ac:dyDescent="0.2">
      <c r="B169" s="127"/>
      <c r="D169" s="128" t="s">
        <v>80</v>
      </c>
      <c r="E169" s="136" t="s">
        <v>358</v>
      </c>
      <c r="F169" s="136" t="s">
        <v>359</v>
      </c>
      <c r="I169" s="171"/>
      <c r="J169" s="137">
        <f>BK169</f>
        <v>176852.47</v>
      </c>
      <c r="L169" s="127"/>
      <c r="M169" s="131"/>
      <c r="P169" s="132">
        <f>SUM(P170:P178)</f>
        <v>576.0803249999999</v>
      </c>
      <c r="R169" s="132">
        <f>SUM(R170:R178)</f>
        <v>0</v>
      </c>
      <c r="T169" s="133">
        <f>SUM(T170:T178)</f>
        <v>0</v>
      </c>
      <c r="AR169" s="128" t="s">
        <v>88</v>
      </c>
      <c r="AT169" s="134" t="s">
        <v>80</v>
      </c>
      <c r="AU169" s="134" t="s">
        <v>88</v>
      </c>
      <c r="AY169" s="128" t="s">
        <v>184</v>
      </c>
      <c r="BK169" s="135">
        <f>SUM(BK170:BK178)</f>
        <v>176852.47</v>
      </c>
    </row>
    <row r="170" spans="2:65" s="1" customFormat="1" ht="24.2" customHeight="1" x14ac:dyDescent="0.3">
      <c r="B170" s="33"/>
      <c r="C170" s="138" t="s">
        <v>322</v>
      </c>
      <c r="D170" s="138" t="s">
        <v>186</v>
      </c>
      <c r="E170" s="139" t="s">
        <v>361</v>
      </c>
      <c r="F170" s="140" t="s">
        <v>1572</v>
      </c>
      <c r="G170" s="141" t="s">
        <v>248</v>
      </c>
      <c r="H170" s="142">
        <v>582.29499999999996</v>
      </c>
      <c r="I170" s="143">
        <v>178.35</v>
      </c>
      <c r="J170" s="144">
        <f>ROUND(I170*H170,2)</f>
        <v>103852.31</v>
      </c>
      <c r="K170" s="140" t="s">
        <v>190</v>
      </c>
      <c r="L170" s="33"/>
      <c r="M170" s="145" t="s">
        <v>1</v>
      </c>
      <c r="N170" s="146" t="s">
        <v>47</v>
      </c>
      <c r="O170" s="147">
        <v>0.83499999999999996</v>
      </c>
      <c r="P170" s="147">
        <f>O170*H170</f>
        <v>486.21632499999993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AR170" s="149" t="s">
        <v>191</v>
      </c>
      <c r="AT170" s="149" t="s">
        <v>186</v>
      </c>
      <c r="AU170" s="149" t="s">
        <v>20</v>
      </c>
      <c r="AY170" s="18" t="s">
        <v>184</v>
      </c>
      <c r="BE170" s="150">
        <f>IF(N170="základní",J170,0)</f>
        <v>103852.31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8" t="s">
        <v>88</v>
      </c>
      <c r="BK170" s="150">
        <f>ROUND(I170*H170,2)</f>
        <v>103852.31</v>
      </c>
      <c r="BL170" s="18" t="s">
        <v>191</v>
      </c>
      <c r="BM170" s="149" t="s">
        <v>1573</v>
      </c>
    </row>
    <row r="171" spans="2:65" s="1" customFormat="1" x14ac:dyDescent="0.3">
      <c r="B171" s="33"/>
      <c r="D171" s="151" t="s">
        <v>193</v>
      </c>
      <c r="F171" s="152" t="s">
        <v>364</v>
      </c>
      <c r="I171" s="153"/>
      <c r="L171" s="33"/>
      <c r="M171" s="154"/>
      <c r="T171" s="57"/>
      <c r="AT171" s="18" t="s">
        <v>193</v>
      </c>
      <c r="AU171" s="18" t="s">
        <v>20</v>
      </c>
    </row>
    <row r="172" spans="2:65" s="1" customFormat="1" ht="19.5" x14ac:dyDescent="0.3">
      <c r="B172" s="33"/>
      <c r="D172" s="156" t="s">
        <v>236</v>
      </c>
      <c r="F172" s="170" t="s">
        <v>365</v>
      </c>
      <c r="I172" s="153"/>
      <c r="L172" s="33"/>
      <c r="M172" s="154"/>
      <c r="T172" s="57"/>
      <c r="AT172" s="18" t="s">
        <v>236</v>
      </c>
      <c r="AU172" s="18" t="s">
        <v>20</v>
      </c>
    </row>
    <row r="173" spans="2:65" s="12" customFormat="1" ht="11.25" x14ac:dyDescent="0.3">
      <c r="B173" s="155"/>
      <c r="D173" s="156" t="s">
        <v>195</v>
      </c>
      <c r="E173" s="157" t="s">
        <v>1</v>
      </c>
      <c r="F173" s="158" t="s">
        <v>1574</v>
      </c>
      <c r="H173" s="159">
        <v>478</v>
      </c>
      <c r="I173" s="160"/>
      <c r="L173" s="155"/>
      <c r="M173" s="161"/>
      <c r="T173" s="162"/>
      <c r="AT173" s="157" t="s">
        <v>195</v>
      </c>
      <c r="AU173" s="157" t="s">
        <v>20</v>
      </c>
      <c r="AV173" s="12" t="s">
        <v>20</v>
      </c>
      <c r="AW173" s="12" t="s">
        <v>37</v>
      </c>
      <c r="AX173" s="12" t="s">
        <v>81</v>
      </c>
      <c r="AY173" s="157" t="s">
        <v>184</v>
      </c>
    </row>
    <row r="174" spans="2:65" s="12" customFormat="1" ht="11.25" x14ac:dyDescent="0.3">
      <c r="B174" s="155"/>
      <c r="D174" s="156" t="s">
        <v>195</v>
      </c>
      <c r="E174" s="157" t="s">
        <v>1</v>
      </c>
      <c r="F174" s="158" t="s">
        <v>1575</v>
      </c>
      <c r="H174" s="159">
        <v>104.295</v>
      </c>
      <c r="I174" s="160"/>
      <c r="L174" s="155"/>
      <c r="M174" s="161"/>
      <c r="T174" s="162"/>
      <c r="AT174" s="157" t="s">
        <v>195</v>
      </c>
      <c r="AU174" s="157" t="s">
        <v>20</v>
      </c>
      <c r="AV174" s="12" t="s">
        <v>20</v>
      </c>
      <c r="AW174" s="12" t="s">
        <v>37</v>
      </c>
      <c r="AX174" s="12" t="s">
        <v>81</v>
      </c>
      <c r="AY174" s="157" t="s">
        <v>184</v>
      </c>
    </row>
    <row r="175" spans="2:65" s="13" customFormat="1" ht="11.25" x14ac:dyDescent="0.3">
      <c r="B175" s="163"/>
      <c r="D175" s="156" t="s">
        <v>195</v>
      </c>
      <c r="E175" s="164" t="s">
        <v>1</v>
      </c>
      <c r="F175" s="165" t="s">
        <v>230</v>
      </c>
      <c r="H175" s="166">
        <v>582.29499999999996</v>
      </c>
      <c r="I175" s="167"/>
      <c r="L175" s="163"/>
      <c r="M175" s="168"/>
      <c r="T175" s="169"/>
      <c r="AT175" s="164" t="s">
        <v>195</v>
      </c>
      <c r="AU175" s="164" t="s">
        <v>20</v>
      </c>
      <c r="AV175" s="13" t="s">
        <v>191</v>
      </c>
      <c r="AW175" s="13" t="s">
        <v>37</v>
      </c>
      <c r="AX175" s="13" t="s">
        <v>88</v>
      </c>
      <c r="AY175" s="164" t="s">
        <v>184</v>
      </c>
    </row>
    <row r="176" spans="2:65" s="1" customFormat="1" ht="16.5" customHeight="1" x14ac:dyDescent="0.3">
      <c r="B176" s="33"/>
      <c r="C176" s="138" t="s">
        <v>328</v>
      </c>
      <c r="D176" s="138" t="s">
        <v>186</v>
      </c>
      <c r="E176" s="139" t="s">
        <v>369</v>
      </c>
      <c r="F176" s="140" t="s">
        <v>1576</v>
      </c>
      <c r="G176" s="141" t="s">
        <v>248</v>
      </c>
      <c r="H176" s="142">
        <v>239</v>
      </c>
      <c r="I176" s="143">
        <v>305.44</v>
      </c>
      <c r="J176" s="144">
        <f>ROUND(I176*H176,2)</f>
        <v>73000.160000000003</v>
      </c>
      <c r="K176" s="140" t="s">
        <v>190</v>
      </c>
      <c r="L176" s="33"/>
      <c r="M176" s="145" t="s">
        <v>1</v>
      </c>
      <c r="N176" s="146" t="s">
        <v>47</v>
      </c>
      <c r="O176" s="147">
        <v>0.376</v>
      </c>
      <c r="P176" s="147">
        <f>O176*H176</f>
        <v>89.864000000000004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49" t="s">
        <v>191</v>
      </c>
      <c r="AT176" s="149" t="s">
        <v>186</v>
      </c>
      <c r="AU176" s="149" t="s">
        <v>20</v>
      </c>
      <c r="AY176" s="18" t="s">
        <v>184</v>
      </c>
      <c r="BE176" s="150">
        <f>IF(N176="základní",J176,0)</f>
        <v>73000.160000000003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8" t="s">
        <v>88</v>
      </c>
      <c r="BK176" s="150">
        <f>ROUND(I176*H176,2)</f>
        <v>73000.160000000003</v>
      </c>
      <c r="BL176" s="18" t="s">
        <v>191</v>
      </c>
      <c r="BM176" s="149" t="s">
        <v>1577</v>
      </c>
    </row>
    <row r="177" spans="2:65" s="1" customFormat="1" x14ac:dyDescent="0.3">
      <c r="B177" s="33"/>
      <c r="D177" s="151" t="s">
        <v>193</v>
      </c>
      <c r="F177" s="152" t="s">
        <v>372</v>
      </c>
      <c r="I177" s="153"/>
      <c r="L177" s="33"/>
      <c r="M177" s="154"/>
      <c r="T177" s="57"/>
      <c r="AT177" s="18" t="s">
        <v>193</v>
      </c>
      <c r="AU177" s="18" t="s">
        <v>20</v>
      </c>
    </row>
    <row r="178" spans="2:65" s="12" customFormat="1" ht="11.25" x14ac:dyDescent="0.3">
      <c r="B178" s="155"/>
      <c r="D178" s="156" t="s">
        <v>195</v>
      </c>
      <c r="E178" s="157" t="s">
        <v>1</v>
      </c>
      <c r="F178" s="158" t="s">
        <v>1578</v>
      </c>
      <c r="H178" s="159">
        <v>239</v>
      </c>
      <c r="I178" s="160"/>
      <c r="L178" s="155"/>
      <c r="M178" s="161"/>
      <c r="T178" s="162"/>
      <c r="AT178" s="157" t="s">
        <v>195</v>
      </c>
      <c r="AU178" s="157" t="s">
        <v>20</v>
      </c>
      <c r="AV178" s="12" t="s">
        <v>20</v>
      </c>
      <c r="AW178" s="12" t="s">
        <v>37</v>
      </c>
      <c r="AX178" s="12" t="s">
        <v>88</v>
      </c>
      <c r="AY178" s="157" t="s">
        <v>184</v>
      </c>
    </row>
    <row r="179" spans="2:65" s="11" customFormat="1" ht="22.9" customHeight="1" x14ac:dyDescent="0.2">
      <c r="B179" s="127"/>
      <c r="D179" s="128" t="s">
        <v>80</v>
      </c>
      <c r="E179" s="136" t="s">
        <v>374</v>
      </c>
      <c r="F179" s="136" t="s">
        <v>375</v>
      </c>
      <c r="I179" s="171"/>
      <c r="J179" s="137">
        <f>BK179</f>
        <v>113175.9</v>
      </c>
      <c r="L179" s="127"/>
      <c r="M179" s="131"/>
      <c r="P179" s="132">
        <f>SUM(P180:P181)</f>
        <v>147.10199800000001</v>
      </c>
      <c r="R179" s="132">
        <f>SUM(R180:R181)</f>
        <v>0</v>
      </c>
      <c r="T179" s="133">
        <f>SUM(T180:T181)</f>
        <v>0</v>
      </c>
      <c r="AR179" s="128" t="s">
        <v>88</v>
      </c>
      <c r="AT179" s="134" t="s">
        <v>80</v>
      </c>
      <c r="AU179" s="134" t="s">
        <v>88</v>
      </c>
      <c r="AY179" s="128" t="s">
        <v>184</v>
      </c>
      <c r="BK179" s="135">
        <f>SUM(BK180:BK181)</f>
        <v>113175.9</v>
      </c>
    </row>
    <row r="180" spans="2:65" s="1" customFormat="1" ht="24.2" customHeight="1" x14ac:dyDescent="0.3">
      <c r="B180" s="33"/>
      <c r="C180" s="138" t="s">
        <v>334</v>
      </c>
      <c r="D180" s="138" t="s">
        <v>186</v>
      </c>
      <c r="E180" s="139" t="s">
        <v>377</v>
      </c>
      <c r="F180" s="140" t="s">
        <v>1511</v>
      </c>
      <c r="G180" s="141" t="s">
        <v>248</v>
      </c>
      <c r="H180" s="142">
        <v>370.53399999999999</v>
      </c>
      <c r="I180" s="143">
        <v>305.44</v>
      </c>
      <c r="J180" s="144">
        <f>ROUND(I180*H180,2)</f>
        <v>113175.9</v>
      </c>
      <c r="K180" s="140" t="s">
        <v>190</v>
      </c>
      <c r="L180" s="33"/>
      <c r="M180" s="145" t="s">
        <v>1</v>
      </c>
      <c r="N180" s="146" t="s">
        <v>47</v>
      </c>
      <c r="O180" s="147">
        <v>0.39700000000000002</v>
      </c>
      <c r="P180" s="147">
        <f>O180*H180</f>
        <v>147.10199800000001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49" t="s">
        <v>191</v>
      </c>
      <c r="AT180" s="149" t="s">
        <v>186</v>
      </c>
      <c r="AU180" s="149" t="s">
        <v>20</v>
      </c>
      <c r="AY180" s="18" t="s">
        <v>184</v>
      </c>
      <c r="BE180" s="150">
        <f>IF(N180="základní",J180,0)</f>
        <v>113175.9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8" t="s">
        <v>88</v>
      </c>
      <c r="BK180" s="150">
        <f>ROUND(I180*H180,2)</f>
        <v>113175.9</v>
      </c>
      <c r="BL180" s="18" t="s">
        <v>191</v>
      </c>
      <c r="BM180" s="149" t="s">
        <v>1579</v>
      </c>
    </row>
    <row r="181" spans="2:65" s="1" customFormat="1" x14ac:dyDescent="0.3">
      <c r="B181" s="33"/>
      <c r="D181" s="151" t="s">
        <v>193</v>
      </c>
      <c r="F181" s="152" t="s">
        <v>380</v>
      </c>
      <c r="I181" s="153"/>
      <c r="L181" s="33"/>
      <c r="M181" s="154"/>
      <c r="T181" s="57"/>
      <c r="AT181" s="18" t="s">
        <v>193</v>
      </c>
      <c r="AU181" s="18" t="s">
        <v>20</v>
      </c>
    </row>
    <row r="182" spans="2:65" s="11" customFormat="1" ht="25.9" customHeight="1" x14ac:dyDescent="0.2">
      <c r="B182" s="127"/>
      <c r="D182" s="128" t="s">
        <v>80</v>
      </c>
      <c r="E182" s="129" t="s">
        <v>381</v>
      </c>
      <c r="F182" s="129" t="s">
        <v>382</v>
      </c>
      <c r="I182" s="171"/>
      <c r="J182" s="130">
        <f>BK182</f>
        <v>8562.43</v>
      </c>
      <c r="L182" s="127"/>
      <c r="M182" s="131"/>
      <c r="P182" s="132">
        <f>P183</f>
        <v>4.8831119999999997</v>
      </c>
      <c r="R182" s="132">
        <f>R183</f>
        <v>1.5928000000000001E-2</v>
      </c>
      <c r="T182" s="133">
        <f>T183</f>
        <v>0</v>
      </c>
      <c r="AR182" s="128" t="s">
        <v>20</v>
      </c>
      <c r="AT182" s="134" t="s">
        <v>80</v>
      </c>
      <c r="AU182" s="134" t="s">
        <v>81</v>
      </c>
      <c r="AY182" s="128" t="s">
        <v>184</v>
      </c>
      <c r="BK182" s="135">
        <f>BK183</f>
        <v>8562.43</v>
      </c>
    </row>
    <row r="183" spans="2:65" s="11" customFormat="1" ht="22.9" customHeight="1" x14ac:dyDescent="0.2">
      <c r="B183" s="127"/>
      <c r="D183" s="128" t="s">
        <v>80</v>
      </c>
      <c r="E183" s="136" t="s">
        <v>383</v>
      </c>
      <c r="F183" s="136" t="s">
        <v>384</v>
      </c>
      <c r="I183" s="171"/>
      <c r="J183" s="137">
        <f>BK183</f>
        <v>8562.43</v>
      </c>
      <c r="L183" s="127"/>
      <c r="M183" s="131"/>
      <c r="P183" s="132">
        <f>SUM(P184:P189)</f>
        <v>4.8831119999999997</v>
      </c>
      <c r="R183" s="132">
        <f>SUM(R184:R189)</f>
        <v>1.5928000000000001E-2</v>
      </c>
      <c r="T183" s="133">
        <f>SUM(T184:T189)</f>
        <v>0</v>
      </c>
      <c r="AR183" s="128" t="s">
        <v>20</v>
      </c>
      <c r="AT183" s="134" t="s">
        <v>80</v>
      </c>
      <c r="AU183" s="134" t="s">
        <v>88</v>
      </c>
      <c r="AY183" s="128" t="s">
        <v>184</v>
      </c>
      <c r="BK183" s="135">
        <f>SUM(BK184:BK189)</f>
        <v>8562.43</v>
      </c>
    </row>
    <row r="184" spans="2:65" s="1" customFormat="1" ht="24.2" customHeight="1" x14ac:dyDescent="0.3">
      <c r="B184" s="33"/>
      <c r="C184" s="138" t="s">
        <v>340</v>
      </c>
      <c r="D184" s="138" t="s">
        <v>186</v>
      </c>
      <c r="E184" s="139" t="s">
        <v>386</v>
      </c>
      <c r="F184" s="140" t="s">
        <v>1580</v>
      </c>
      <c r="G184" s="141" t="s">
        <v>189</v>
      </c>
      <c r="H184" s="142">
        <v>39.82</v>
      </c>
      <c r="I184" s="143">
        <v>213.8</v>
      </c>
      <c r="J184" s="144">
        <f>ROUND(I184*H184,2)</f>
        <v>8513.52</v>
      </c>
      <c r="K184" s="140" t="s">
        <v>190</v>
      </c>
      <c r="L184" s="33"/>
      <c r="M184" s="145" t="s">
        <v>1</v>
      </c>
      <c r="N184" s="146" t="s">
        <v>47</v>
      </c>
      <c r="O184" s="147">
        <v>0.122</v>
      </c>
      <c r="P184" s="147">
        <f>O184*H184</f>
        <v>4.8580399999999999</v>
      </c>
      <c r="Q184" s="147">
        <v>4.0000000000000002E-4</v>
      </c>
      <c r="R184" s="147">
        <f>Q184*H184</f>
        <v>1.5928000000000001E-2</v>
      </c>
      <c r="S184" s="147">
        <v>0</v>
      </c>
      <c r="T184" s="148">
        <f>S184*H184</f>
        <v>0</v>
      </c>
      <c r="AR184" s="149" t="s">
        <v>287</v>
      </c>
      <c r="AT184" s="149" t="s">
        <v>186</v>
      </c>
      <c r="AU184" s="149" t="s">
        <v>20</v>
      </c>
      <c r="AY184" s="18" t="s">
        <v>184</v>
      </c>
      <c r="BE184" s="150">
        <f>IF(N184="základní",J184,0)</f>
        <v>8513.52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8" t="s">
        <v>88</v>
      </c>
      <c r="BK184" s="150">
        <f>ROUND(I184*H184,2)</f>
        <v>8513.52</v>
      </c>
      <c r="BL184" s="18" t="s">
        <v>287</v>
      </c>
      <c r="BM184" s="149" t="s">
        <v>1581</v>
      </c>
    </row>
    <row r="185" spans="2:65" s="1" customFormat="1" x14ac:dyDescent="0.3">
      <c r="B185" s="33"/>
      <c r="D185" s="151" t="s">
        <v>193</v>
      </c>
      <c r="F185" s="152" t="s">
        <v>389</v>
      </c>
      <c r="I185" s="153"/>
      <c r="L185" s="33"/>
      <c r="M185" s="154"/>
      <c r="T185" s="57"/>
      <c r="AT185" s="18" t="s">
        <v>193</v>
      </c>
      <c r="AU185" s="18" t="s">
        <v>20</v>
      </c>
    </row>
    <row r="186" spans="2:65" s="12" customFormat="1" ht="11.25" x14ac:dyDescent="0.3">
      <c r="B186" s="155"/>
      <c r="D186" s="156" t="s">
        <v>195</v>
      </c>
      <c r="E186" s="157" t="s">
        <v>1</v>
      </c>
      <c r="F186" s="158" t="s">
        <v>1582</v>
      </c>
      <c r="H186" s="159">
        <v>36.200000000000003</v>
      </c>
      <c r="I186" s="160"/>
      <c r="L186" s="155"/>
      <c r="M186" s="161"/>
      <c r="T186" s="162"/>
      <c r="AT186" s="157" t="s">
        <v>195</v>
      </c>
      <c r="AU186" s="157" t="s">
        <v>20</v>
      </c>
      <c r="AV186" s="12" t="s">
        <v>20</v>
      </c>
      <c r="AW186" s="12" t="s">
        <v>37</v>
      </c>
      <c r="AX186" s="12" t="s">
        <v>81</v>
      </c>
      <c r="AY186" s="157" t="s">
        <v>184</v>
      </c>
    </row>
    <row r="187" spans="2:65" s="12" customFormat="1" ht="11.25" x14ac:dyDescent="0.3">
      <c r="B187" s="155"/>
      <c r="D187" s="156" t="s">
        <v>195</v>
      </c>
      <c r="E187" s="157" t="s">
        <v>1</v>
      </c>
      <c r="F187" s="158" t="s">
        <v>1583</v>
      </c>
      <c r="H187" s="159">
        <v>39.82</v>
      </c>
      <c r="I187" s="160"/>
      <c r="L187" s="155"/>
      <c r="M187" s="161"/>
      <c r="T187" s="162"/>
      <c r="AT187" s="157" t="s">
        <v>195</v>
      </c>
      <c r="AU187" s="157" t="s">
        <v>20</v>
      </c>
      <c r="AV187" s="12" t="s">
        <v>20</v>
      </c>
      <c r="AW187" s="12" t="s">
        <v>37</v>
      </c>
      <c r="AX187" s="12" t="s">
        <v>88</v>
      </c>
      <c r="AY187" s="157" t="s">
        <v>184</v>
      </c>
    </row>
    <row r="188" spans="2:65" s="1" customFormat="1" ht="24.2" customHeight="1" x14ac:dyDescent="0.3">
      <c r="B188" s="33"/>
      <c r="C188" s="138" t="s">
        <v>346</v>
      </c>
      <c r="D188" s="138" t="s">
        <v>186</v>
      </c>
      <c r="E188" s="139" t="s">
        <v>393</v>
      </c>
      <c r="F188" s="140" t="s">
        <v>1584</v>
      </c>
      <c r="G188" s="141" t="s">
        <v>248</v>
      </c>
      <c r="H188" s="142">
        <v>1.6E-2</v>
      </c>
      <c r="I188" s="143">
        <v>3057.13</v>
      </c>
      <c r="J188" s="144">
        <f>ROUND(I188*H188,2)</f>
        <v>48.91</v>
      </c>
      <c r="K188" s="140" t="s">
        <v>190</v>
      </c>
      <c r="L188" s="33"/>
      <c r="M188" s="145" t="s">
        <v>1</v>
      </c>
      <c r="N188" s="146" t="s">
        <v>47</v>
      </c>
      <c r="O188" s="147">
        <v>1.5669999999999999</v>
      </c>
      <c r="P188" s="147">
        <f>O188*H188</f>
        <v>2.5072000000000001E-2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AR188" s="149" t="s">
        <v>287</v>
      </c>
      <c r="AT188" s="149" t="s">
        <v>186</v>
      </c>
      <c r="AU188" s="149" t="s">
        <v>20</v>
      </c>
      <c r="AY188" s="18" t="s">
        <v>184</v>
      </c>
      <c r="BE188" s="150">
        <f>IF(N188="základní",J188,0)</f>
        <v>48.91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8" t="s">
        <v>88</v>
      </c>
      <c r="BK188" s="150">
        <f>ROUND(I188*H188,2)</f>
        <v>48.91</v>
      </c>
      <c r="BL188" s="18" t="s">
        <v>287</v>
      </c>
      <c r="BM188" s="149" t="s">
        <v>1585</v>
      </c>
    </row>
    <row r="189" spans="2:65" s="1" customFormat="1" x14ac:dyDescent="0.3">
      <c r="B189" s="33"/>
      <c r="D189" s="151" t="s">
        <v>193</v>
      </c>
      <c r="F189" s="152" t="s">
        <v>1586</v>
      </c>
      <c r="I189" s="153"/>
      <c r="L189" s="33"/>
      <c r="M189" s="189"/>
      <c r="N189" s="190"/>
      <c r="O189" s="190"/>
      <c r="P189" s="190"/>
      <c r="Q189" s="190"/>
      <c r="R189" s="190"/>
      <c r="S189" s="190"/>
      <c r="T189" s="191"/>
      <c r="AT189" s="18" t="s">
        <v>193</v>
      </c>
      <c r="AU189" s="18" t="s">
        <v>20</v>
      </c>
    </row>
    <row r="190" spans="2:65" s="1" customFormat="1" ht="6.95" customHeight="1" x14ac:dyDescent="0.3">
      <c r="B190" s="45"/>
      <c r="C190" s="46"/>
      <c r="D190" s="46"/>
      <c r="E190" s="46"/>
      <c r="F190" s="46"/>
      <c r="G190" s="46"/>
      <c r="H190" s="46"/>
      <c r="I190" s="188"/>
      <c r="J190" s="46"/>
      <c r="K190" s="46"/>
      <c r="L190" s="33"/>
    </row>
  </sheetData>
  <sheetProtection sheet="1" objects="1" scenarios="1"/>
  <autoFilter ref="C123:K236" xr:uid="{D3F8D065-B2F9-4D57-9D3E-B07456538724}"/>
  <mergeCells count="8">
    <mergeCell ref="E48:H48"/>
    <mergeCell ref="E50:H50"/>
    <mergeCell ref="E78:H78"/>
    <mergeCell ref="E80:H80"/>
    <mergeCell ref="L2:V2"/>
    <mergeCell ref="E7:H7"/>
    <mergeCell ref="E9:H9"/>
    <mergeCell ref="E27:H27"/>
  </mergeCells>
  <hyperlinks>
    <hyperlink ref="F92" r:id="rId1" xr:uid="{8E24FAA0-C251-48CA-81C9-6B102E1D6D55}"/>
    <hyperlink ref="F95" r:id="rId2" xr:uid="{3FDAE812-3306-40B1-B3D1-028F05466AA3}"/>
    <hyperlink ref="F97" r:id="rId3" xr:uid="{AE830F72-63D5-43A8-BC65-5C2173A07C2A}"/>
    <hyperlink ref="F100" r:id="rId4" xr:uid="{C787A303-B0E6-44B0-B666-4566D87EABCF}"/>
    <hyperlink ref="F103" r:id="rId5" xr:uid="{CFF6A823-9A9A-4CE9-8979-BA5BFBC5E427}"/>
    <hyperlink ref="F112" r:id="rId6" xr:uid="{A763E43D-5A8A-4DF6-9344-9AFC92981832}"/>
    <hyperlink ref="F115" r:id="rId7" xr:uid="{1DE60413-4B8C-4FF8-82A4-6E29A0E1DF20}"/>
    <hyperlink ref="F119" r:id="rId8" xr:uid="{06AF3D31-97D6-4835-A817-DC569BBC2710}"/>
    <hyperlink ref="F122" r:id="rId9" xr:uid="{D4954626-A7D5-49B3-8BF8-EB0F5059341F}"/>
    <hyperlink ref="F124" r:id="rId10" xr:uid="{F91768DA-6A45-4A92-B7C2-19B11A1F0007}"/>
    <hyperlink ref="F129" r:id="rId11" xr:uid="{C85ACD30-21AC-4C85-B37F-BD0121C9A04B}"/>
    <hyperlink ref="F133" r:id="rId12" xr:uid="{34427DBD-BA81-4DF1-891C-BE6B21C735BD}"/>
    <hyperlink ref="F139" r:id="rId13" xr:uid="{EBB8C940-7477-4609-98D4-592910AC8DC2}"/>
    <hyperlink ref="F143" r:id="rId14" xr:uid="{B95C15C0-4EB6-430E-BAC9-080EBF6991ED}"/>
    <hyperlink ref="F154" r:id="rId15" xr:uid="{49E0FF85-0784-4BC9-999B-9231E1C3DE31}"/>
    <hyperlink ref="F157" r:id="rId16" xr:uid="{BC7D84D5-C7C7-40C4-9B02-86AE60625E20}"/>
    <hyperlink ref="F171" r:id="rId17" xr:uid="{43A35806-BF54-48EC-A6AD-76BF8F13144D}"/>
    <hyperlink ref="F177" r:id="rId18" xr:uid="{9645AE28-4B56-41FE-9CF7-0BB1762C4684}"/>
    <hyperlink ref="F181" r:id="rId19" xr:uid="{C3A1C6F0-BD1C-471C-A48D-A83008990AB1}"/>
    <hyperlink ref="F185" r:id="rId20" xr:uid="{786FFAA3-751B-4C22-BF35-D38F9F6EB8D7}"/>
    <hyperlink ref="F189" r:id="rId21" xr:uid="{6BB69158-8544-47DD-816F-D6780790524C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2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26EAC-9CAF-4C12-8EA9-4B0A24FD9CD0}">
  <sheetPr>
    <tabColor indexed="44"/>
    <pageSetUpPr fitToPage="1"/>
  </sheetPr>
  <dimension ref="B2:BM205"/>
  <sheetViews>
    <sheetView showGridLines="0" zoomScaleNormal="100" workbookViewId="0">
      <selection activeCell="I128" sqref="I128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123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1587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ROUND(J85, 2)</f>
        <v>691799.54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ROUND((SUM(BE85:BE204)),  2)</f>
        <v>691799.54</v>
      </c>
      <c r="I33" s="99">
        <v>0.21</v>
      </c>
      <c r="J33" s="98">
        <f>ROUND(((SUM(BE85:BE204))*I33),  2)</f>
        <v>145277.9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ROUND((SUM(BF85:BF204)),  2)</f>
        <v>0</v>
      </c>
      <c r="I34" s="99">
        <v>0.15</v>
      </c>
      <c r="J34" s="98">
        <f>ROUND(((SUM(BF85:BF204))*I34),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ROUND((SUM(BG85:BG204)),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ROUND((SUM(BH85:BH204)),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ROUND((SUM(BI85:BI204)),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837077.44000000006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103.II - Parkovací stání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J85</f>
        <v>691799.53999999992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J86</f>
        <v>691799.53999999992</v>
      </c>
      <c r="L60" s="111"/>
    </row>
    <row r="61" spans="2:47" s="9" customFormat="1" ht="19.899999999999999" customHeight="1" x14ac:dyDescent="0.3">
      <c r="B61" s="115"/>
      <c r="D61" s="116" t="s">
        <v>161</v>
      </c>
      <c r="E61" s="117"/>
      <c r="F61" s="117"/>
      <c r="G61" s="117"/>
      <c r="H61" s="117"/>
      <c r="I61" s="117"/>
      <c r="J61" s="118">
        <f>J87</f>
        <v>78638.329999999987</v>
      </c>
      <c r="L61" s="115"/>
    </row>
    <row r="62" spans="2:47" s="9" customFormat="1" ht="19.899999999999999" customHeight="1" x14ac:dyDescent="0.3">
      <c r="B62" s="115"/>
      <c r="D62" s="116" t="s">
        <v>162</v>
      </c>
      <c r="E62" s="117"/>
      <c r="F62" s="117"/>
      <c r="G62" s="117"/>
      <c r="H62" s="117"/>
      <c r="I62" s="117"/>
      <c r="J62" s="118">
        <f>J127</f>
        <v>419986.16000000003</v>
      </c>
      <c r="L62" s="115"/>
    </row>
    <row r="63" spans="2:47" s="9" customFormat="1" ht="19.899999999999999" customHeight="1" x14ac:dyDescent="0.3">
      <c r="B63" s="115"/>
      <c r="D63" s="116" t="s">
        <v>163</v>
      </c>
      <c r="E63" s="117"/>
      <c r="F63" s="117"/>
      <c r="G63" s="117"/>
      <c r="H63" s="117"/>
      <c r="I63" s="117"/>
      <c r="J63" s="118">
        <f>J153</f>
        <v>161011.37000000002</v>
      </c>
      <c r="L63" s="115"/>
    </row>
    <row r="64" spans="2:47" s="9" customFormat="1" ht="19.899999999999999" customHeight="1" x14ac:dyDescent="0.3">
      <c r="B64" s="115"/>
      <c r="D64" s="116" t="s">
        <v>164</v>
      </c>
      <c r="E64" s="117"/>
      <c r="F64" s="117"/>
      <c r="G64" s="117"/>
      <c r="H64" s="117"/>
      <c r="I64" s="117"/>
      <c r="J64" s="118">
        <f>J198</f>
        <v>6919.98</v>
      </c>
      <c r="L64" s="115"/>
    </row>
    <row r="65" spans="2:12" s="9" customFormat="1" ht="19.899999999999999" customHeight="1" x14ac:dyDescent="0.3">
      <c r="B65" s="115"/>
      <c r="D65" s="116" t="s">
        <v>165</v>
      </c>
      <c r="E65" s="117"/>
      <c r="F65" s="117"/>
      <c r="G65" s="117"/>
      <c r="H65" s="117"/>
      <c r="I65" s="117"/>
      <c r="J65" s="118">
        <f>J202</f>
        <v>25243.7</v>
      </c>
      <c r="L65" s="115"/>
    </row>
    <row r="66" spans="2:12" s="1" customFormat="1" ht="21.75" customHeight="1" x14ac:dyDescent="0.3">
      <c r="B66" s="33"/>
      <c r="L66" s="33"/>
    </row>
    <row r="67" spans="2:12" s="1" customFormat="1" ht="6.95" customHeight="1" x14ac:dyDescent="0.3"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33"/>
    </row>
    <row r="71" spans="2:12" s="1" customFormat="1" ht="6.95" customHeight="1" x14ac:dyDescent="0.3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3"/>
    </row>
    <row r="72" spans="2:12" s="1" customFormat="1" ht="24.95" customHeight="1" x14ac:dyDescent="0.3">
      <c r="B72" s="33"/>
      <c r="C72" s="22" t="s">
        <v>168</v>
      </c>
      <c r="L72" s="33"/>
    </row>
    <row r="73" spans="2:12" s="1" customFormat="1" ht="6.95" customHeight="1" x14ac:dyDescent="0.3">
      <c r="B73" s="33"/>
      <c r="L73" s="33"/>
    </row>
    <row r="74" spans="2:12" s="1" customFormat="1" ht="12" customHeight="1" x14ac:dyDescent="0.3">
      <c r="B74" s="33"/>
      <c r="C74" s="28" t="s">
        <v>15</v>
      </c>
      <c r="L74" s="33"/>
    </row>
    <row r="75" spans="2:12" s="1" customFormat="1" ht="16.5" customHeight="1" x14ac:dyDescent="0.3">
      <c r="B75" s="33"/>
      <c r="E75" s="324" t="str">
        <f>E7</f>
        <v>Obnova ulice Tyršova, Dobrovice - II. etapa</v>
      </c>
      <c r="F75" s="325"/>
      <c r="G75" s="325"/>
      <c r="H75" s="325"/>
      <c r="L75" s="33"/>
    </row>
    <row r="76" spans="2:12" s="1" customFormat="1" ht="12" customHeight="1" x14ac:dyDescent="0.3">
      <c r="B76" s="33"/>
      <c r="C76" s="28" t="s">
        <v>152</v>
      </c>
      <c r="L76" s="33"/>
    </row>
    <row r="77" spans="2:12" s="1" customFormat="1" ht="16.5" customHeight="1" x14ac:dyDescent="0.3">
      <c r="B77" s="33"/>
      <c r="E77" s="308" t="str">
        <f>E9</f>
        <v>SO 103.II - Parkovací stání II. etapa</v>
      </c>
      <c r="F77" s="326"/>
      <c r="G77" s="326"/>
      <c r="H77" s="326"/>
      <c r="L77" s="33"/>
    </row>
    <row r="78" spans="2:12" s="1" customFormat="1" ht="6.95" customHeight="1" x14ac:dyDescent="0.3">
      <c r="B78" s="33"/>
      <c r="L78" s="33"/>
    </row>
    <row r="79" spans="2:12" s="1" customFormat="1" ht="12" customHeight="1" x14ac:dyDescent="0.3">
      <c r="B79" s="33"/>
      <c r="C79" s="28" t="s">
        <v>21</v>
      </c>
      <c r="F79" s="26" t="str">
        <f>F12</f>
        <v>Dobrovice</v>
      </c>
      <c r="I79" s="28" t="s">
        <v>23</v>
      </c>
      <c r="J79" s="53">
        <f>IF(J12="","",J12)</f>
        <v>45678</v>
      </c>
      <c r="L79" s="33"/>
    </row>
    <row r="80" spans="2:12" s="1" customFormat="1" ht="6.95" customHeight="1" x14ac:dyDescent="0.3">
      <c r="B80" s="33"/>
      <c r="L80" s="33"/>
    </row>
    <row r="81" spans="2:65" s="1" customFormat="1" ht="25.7" customHeight="1" x14ac:dyDescent="0.3">
      <c r="B81" s="33"/>
      <c r="C81" s="28" t="s">
        <v>28</v>
      </c>
      <c r="F81" s="26" t="str">
        <f>E15</f>
        <v>Město Dobrovice, Palckého nám. 28, 294 41</v>
      </c>
      <c r="I81" s="28" t="s">
        <v>34</v>
      </c>
      <c r="J81" s="96" t="str">
        <f>E21</f>
        <v>Ing. arch. Martin Jirovský Ph.D., MBA</v>
      </c>
      <c r="L81" s="33"/>
    </row>
    <row r="82" spans="2:65" s="1" customFormat="1" ht="40.15" customHeight="1" x14ac:dyDescent="0.3">
      <c r="B82" s="33"/>
      <c r="C82" s="28" t="s">
        <v>33</v>
      </c>
      <c r="F82" s="26">
        <f>IF(E18="","",E18)</f>
        <v>0</v>
      </c>
      <c r="I82" s="28" t="s">
        <v>38</v>
      </c>
      <c r="J82" s="96" t="str">
        <f>E24</f>
        <v>ROAD M.A.A.T. s.r.o., Petra Stejskalová</v>
      </c>
      <c r="L82" s="33"/>
    </row>
    <row r="83" spans="2:65" s="1" customFormat="1" ht="10.35" customHeight="1" x14ac:dyDescent="0.3">
      <c r="B83" s="33"/>
      <c r="L83" s="33"/>
    </row>
    <row r="84" spans="2:65" s="10" customFormat="1" ht="29.25" customHeight="1" x14ac:dyDescent="0.3">
      <c r="B84" s="119"/>
      <c r="C84" s="120" t="s">
        <v>169</v>
      </c>
      <c r="D84" s="121" t="s">
        <v>66</v>
      </c>
      <c r="E84" s="121" t="s">
        <v>63</v>
      </c>
      <c r="F84" s="121" t="s">
        <v>170</v>
      </c>
      <c r="G84" s="121" t="s">
        <v>171</v>
      </c>
      <c r="H84" s="121" t="s">
        <v>172</v>
      </c>
      <c r="I84" s="121" t="s">
        <v>173</v>
      </c>
      <c r="J84" s="121" t="s">
        <v>157</v>
      </c>
      <c r="K84" s="122" t="s">
        <v>174</v>
      </c>
      <c r="L84" s="119"/>
      <c r="M84" s="60" t="s">
        <v>1</v>
      </c>
      <c r="N84" s="61" t="s">
        <v>46</v>
      </c>
      <c r="O84" s="61" t="s">
        <v>175</v>
      </c>
      <c r="P84" s="61" t="s">
        <v>176</v>
      </c>
      <c r="Q84" s="61" t="s">
        <v>177</v>
      </c>
      <c r="R84" s="61" t="s">
        <v>178</v>
      </c>
      <c r="S84" s="61" t="s">
        <v>179</v>
      </c>
      <c r="T84" s="62" t="s">
        <v>180</v>
      </c>
    </row>
    <row r="85" spans="2:65" s="1" customFormat="1" ht="22.9" customHeight="1" x14ac:dyDescent="0.25">
      <c r="B85" s="33"/>
      <c r="C85" s="65" t="s">
        <v>181</v>
      </c>
      <c r="J85" s="123">
        <f>BK85</f>
        <v>691799.53999999992</v>
      </c>
      <c r="L85" s="33"/>
      <c r="M85" s="63"/>
      <c r="N85" s="54"/>
      <c r="O85" s="54"/>
      <c r="P85" s="124">
        <f>P86</f>
        <v>337.71002300000004</v>
      </c>
      <c r="Q85" s="54"/>
      <c r="R85" s="124">
        <f>R86</f>
        <v>82.647057899999993</v>
      </c>
      <c r="S85" s="54"/>
      <c r="T85" s="125">
        <f>T86</f>
        <v>43.479400000000005</v>
      </c>
      <c r="AT85" s="18" t="s">
        <v>80</v>
      </c>
      <c r="AU85" s="18" t="s">
        <v>159</v>
      </c>
      <c r="BK85" s="126">
        <f>BK86</f>
        <v>691799.53999999992</v>
      </c>
    </row>
    <row r="86" spans="2:65" s="11" customFormat="1" ht="25.9" customHeight="1" x14ac:dyDescent="0.2">
      <c r="B86" s="127"/>
      <c r="D86" s="128" t="s">
        <v>80</v>
      </c>
      <c r="E86" s="129" t="s">
        <v>182</v>
      </c>
      <c r="F86" s="129" t="s">
        <v>183</v>
      </c>
      <c r="J86" s="130">
        <f>BK86</f>
        <v>691799.53999999992</v>
      </c>
      <c r="L86" s="127"/>
      <c r="M86" s="131"/>
      <c r="P86" s="132">
        <f>P87+P127+P153+P198+P202</f>
        <v>337.71002300000004</v>
      </c>
      <c r="R86" s="132">
        <f>R87+R127+R153+R198+R202</f>
        <v>82.647057899999993</v>
      </c>
      <c r="T86" s="133">
        <f>T87+T127+T153+T198+T202</f>
        <v>43.479400000000005</v>
      </c>
      <c r="AR86" s="128" t="s">
        <v>88</v>
      </c>
      <c r="AT86" s="134" t="s">
        <v>80</v>
      </c>
      <c r="AU86" s="134" t="s">
        <v>81</v>
      </c>
      <c r="AY86" s="128" t="s">
        <v>184</v>
      </c>
      <c r="BK86" s="135">
        <f>BK87+BK127+BK153+BK198+BK202</f>
        <v>691799.53999999992</v>
      </c>
    </row>
    <row r="87" spans="2:65" s="11" customFormat="1" ht="22.9" customHeight="1" x14ac:dyDescent="0.2">
      <c r="B87" s="127"/>
      <c r="D87" s="128" t="s">
        <v>80</v>
      </c>
      <c r="E87" s="136" t="s">
        <v>88</v>
      </c>
      <c r="F87" s="136" t="s">
        <v>185</v>
      </c>
      <c r="J87" s="137">
        <f>BK87</f>
        <v>78638.329999999987</v>
      </c>
      <c r="L87" s="127"/>
      <c r="M87" s="131"/>
      <c r="P87" s="132">
        <f>SUM(P88:P126)</f>
        <v>99.592524000000026</v>
      </c>
      <c r="R87" s="132">
        <f>SUM(R88:R126)</f>
        <v>0</v>
      </c>
      <c r="T87" s="133">
        <f>SUM(T88:T126)</f>
        <v>38.800000000000004</v>
      </c>
      <c r="AR87" s="128" t="s">
        <v>88</v>
      </c>
      <c r="AT87" s="134" t="s">
        <v>80</v>
      </c>
      <c r="AU87" s="134" t="s">
        <v>88</v>
      </c>
      <c r="AY87" s="128" t="s">
        <v>184</v>
      </c>
      <c r="BK87" s="135">
        <f>SUM(BK88:BK126)</f>
        <v>78638.329999999987</v>
      </c>
    </row>
    <row r="88" spans="2:65" s="1" customFormat="1" ht="37.9" customHeight="1" x14ac:dyDescent="0.3">
      <c r="B88" s="33"/>
      <c r="C88" s="138" t="s">
        <v>88</v>
      </c>
      <c r="D88" s="138" t="s">
        <v>186</v>
      </c>
      <c r="E88" s="139" t="s">
        <v>397</v>
      </c>
      <c r="F88" s="140" t="s">
        <v>1588</v>
      </c>
      <c r="G88" s="141" t="s">
        <v>189</v>
      </c>
      <c r="H88" s="142">
        <v>100</v>
      </c>
      <c r="I88" s="143">
        <v>68.72</v>
      </c>
      <c r="J88" s="144">
        <f>ROUND(I88*H88,2)</f>
        <v>6872</v>
      </c>
      <c r="K88" s="140" t="s">
        <v>190</v>
      </c>
      <c r="L88" s="33"/>
      <c r="M88" s="145" t="s">
        <v>1</v>
      </c>
      <c r="N88" s="146" t="s">
        <v>47</v>
      </c>
      <c r="O88" s="147">
        <v>2.7E-2</v>
      </c>
      <c r="P88" s="147">
        <f>O88*H88</f>
        <v>2.7</v>
      </c>
      <c r="Q88" s="147">
        <v>0</v>
      </c>
      <c r="R88" s="147">
        <f>Q88*H88</f>
        <v>0</v>
      </c>
      <c r="S88" s="147">
        <v>0.38800000000000001</v>
      </c>
      <c r="T88" s="148">
        <f>S88*H88</f>
        <v>38.800000000000004</v>
      </c>
      <c r="AR88" s="149" t="s">
        <v>191</v>
      </c>
      <c r="AT88" s="149" t="s">
        <v>186</v>
      </c>
      <c r="AU88" s="149" t="s">
        <v>20</v>
      </c>
      <c r="AY88" s="18" t="s">
        <v>184</v>
      </c>
      <c r="BE88" s="150">
        <f>IF(N88="základní",J88,0)</f>
        <v>6872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8" t="s">
        <v>88</v>
      </c>
      <c r="BK88" s="150">
        <f>ROUND(I88*H88,2)</f>
        <v>6872</v>
      </c>
      <c r="BL88" s="18" t="s">
        <v>191</v>
      </c>
      <c r="BM88" s="149" t="s">
        <v>1589</v>
      </c>
    </row>
    <row r="89" spans="2:65" s="1" customFormat="1" x14ac:dyDescent="0.3">
      <c r="B89" s="33"/>
      <c r="D89" s="151" t="s">
        <v>193</v>
      </c>
      <c r="F89" s="152" t="s">
        <v>400</v>
      </c>
      <c r="I89" s="153"/>
      <c r="L89" s="33"/>
      <c r="M89" s="154"/>
      <c r="T89" s="57"/>
      <c r="AT89" s="18" t="s">
        <v>193</v>
      </c>
      <c r="AU89" s="18" t="s">
        <v>20</v>
      </c>
    </row>
    <row r="90" spans="2:65" s="12" customFormat="1" ht="11.25" x14ac:dyDescent="0.3">
      <c r="B90" s="155"/>
      <c r="D90" s="156" t="s">
        <v>195</v>
      </c>
      <c r="E90" s="157" t="s">
        <v>1</v>
      </c>
      <c r="F90" s="158" t="s">
        <v>1590</v>
      </c>
      <c r="H90" s="159">
        <v>100</v>
      </c>
      <c r="I90" s="160"/>
      <c r="L90" s="155"/>
      <c r="M90" s="161"/>
      <c r="T90" s="162"/>
      <c r="AT90" s="157" t="s">
        <v>195</v>
      </c>
      <c r="AU90" s="157" t="s">
        <v>20</v>
      </c>
      <c r="AV90" s="12" t="s">
        <v>20</v>
      </c>
      <c r="AW90" s="12" t="s">
        <v>37</v>
      </c>
      <c r="AX90" s="12" t="s">
        <v>88</v>
      </c>
      <c r="AY90" s="157" t="s">
        <v>184</v>
      </c>
    </row>
    <row r="91" spans="2:65" s="1" customFormat="1" ht="16.5" customHeight="1" x14ac:dyDescent="0.3">
      <c r="B91" s="33"/>
      <c r="C91" s="138" t="s">
        <v>20</v>
      </c>
      <c r="D91" s="138" t="s">
        <v>186</v>
      </c>
      <c r="E91" s="139" t="s">
        <v>1591</v>
      </c>
      <c r="F91" s="140" t="s">
        <v>1592</v>
      </c>
      <c r="G91" s="141" t="s">
        <v>189</v>
      </c>
      <c r="H91" s="142">
        <v>56.2</v>
      </c>
      <c r="I91" s="143">
        <v>76.36</v>
      </c>
      <c r="J91" s="144">
        <f>ROUND(I91*H91,2)</f>
        <v>4291.43</v>
      </c>
      <c r="K91" s="140" t="s">
        <v>190</v>
      </c>
      <c r="L91" s="33"/>
      <c r="M91" s="145" t="s">
        <v>1</v>
      </c>
      <c r="N91" s="146" t="s">
        <v>47</v>
      </c>
      <c r="O91" s="147">
        <v>7.5999999999999998E-2</v>
      </c>
      <c r="P91" s="147">
        <f>O91*H91</f>
        <v>4.2712000000000003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AR91" s="149" t="s">
        <v>191</v>
      </c>
      <c r="AT91" s="149" t="s">
        <v>186</v>
      </c>
      <c r="AU91" s="149" t="s">
        <v>20</v>
      </c>
      <c r="AY91" s="18" t="s">
        <v>184</v>
      </c>
      <c r="BE91" s="150">
        <f>IF(N91="základní",J91,0)</f>
        <v>4291.43</v>
      </c>
      <c r="BF91" s="150">
        <f>IF(N91="snížená",J91,0)</f>
        <v>0</v>
      </c>
      <c r="BG91" s="150">
        <f>IF(N91="zákl. přenesená",J91,0)</f>
        <v>0</v>
      </c>
      <c r="BH91" s="150">
        <f>IF(N91="sníž. přenesená",J91,0)</f>
        <v>0</v>
      </c>
      <c r="BI91" s="150">
        <f>IF(N91="nulová",J91,0)</f>
        <v>0</v>
      </c>
      <c r="BJ91" s="18" t="s">
        <v>88</v>
      </c>
      <c r="BK91" s="150">
        <f>ROUND(I91*H91,2)</f>
        <v>4291.43</v>
      </c>
      <c r="BL91" s="18" t="s">
        <v>191</v>
      </c>
      <c r="BM91" s="149" t="s">
        <v>1593</v>
      </c>
    </row>
    <row r="92" spans="2:65" s="1" customFormat="1" x14ac:dyDescent="0.3">
      <c r="B92" s="33"/>
      <c r="D92" s="151" t="s">
        <v>193</v>
      </c>
      <c r="F92" s="152" t="s">
        <v>1594</v>
      </c>
      <c r="I92" s="153"/>
      <c r="L92" s="33"/>
      <c r="M92" s="154"/>
      <c r="T92" s="57"/>
      <c r="AT92" s="18" t="s">
        <v>193</v>
      </c>
      <c r="AU92" s="18" t="s">
        <v>20</v>
      </c>
    </row>
    <row r="93" spans="2:65" s="12" customFormat="1" ht="11.25" x14ac:dyDescent="0.3">
      <c r="B93" s="155"/>
      <c r="D93" s="156" t="s">
        <v>195</v>
      </c>
      <c r="E93" s="157" t="s">
        <v>1</v>
      </c>
      <c r="F93" s="158" t="s">
        <v>1595</v>
      </c>
      <c r="H93" s="159">
        <v>56.2</v>
      </c>
      <c r="I93" s="160"/>
      <c r="L93" s="155"/>
      <c r="M93" s="161"/>
      <c r="T93" s="162"/>
      <c r="AT93" s="157" t="s">
        <v>195</v>
      </c>
      <c r="AU93" s="157" t="s">
        <v>20</v>
      </c>
      <c r="AV93" s="12" t="s">
        <v>20</v>
      </c>
      <c r="AW93" s="12" t="s">
        <v>37</v>
      </c>
      <c r="AX93" s="12" t="s">
        <v>88</v>
      </c>
      <c r="AY93" s="157" t="s">
        <v>184</v>
      </c>
    </row>
    <row r="94" spans="2:65" s="1" customFormat="1" ht="21.75" customHeight="1" x14ac:dyDescent="0.3">
      <c r="B94" s="33"/>
      <c r="C94" s="138" t="s">
        <v>202</v>
      </c>
      <c r="D94" s="138" t="s">
        <v>186</v>
      </c>
      <c r="E94" s="139" t="s">
        <v>674</v>
      </c>
      <c r="F94" s="140" t="s">
        <v>1596</v>
      </c>
      <c r="G94" s="141" t="s">
        <v>217</v>
      </c>
      <c r="H94" s="142">
        <v>30.393000000000001</v>
      </c>
      <c r="I94" s="143">
        <v>229.08</v>
      </c>
      <c r="J94" s="144">
        <f>ROUND(I94*H94,2)</f>
        <v>6962.43</v>
      </c>
      <c r="K94" s="140" t="s">
        <v>190</v>
      </c>
      <c r="L94" s="33"/>
      <c r="M94" s="145" t="s">
        <v>1</v>
      </c>
      <c r="N94" s="146" t="s">
        <v>47</v>
      </c>
      <c r="O94" s="147">
        <v>0.188</v>
      </c>
      <c r="P94" s="147">
        <f>O94*H94</f>
        <v>5.7138840000000002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49" t="s">
        <v>191</v>
      </c>
      <c r="AT94" s="149" t="s">
        <v>186</v>
      </c>
      <c r="AU94" s="149" t="s">
        <v>20</v>
      </c>
      <c r="AY94" s="18" t="s">
        <v>184</v>
      </c>
      <c r="BE94" s="150">
        <f>IF(N94="základní",J94,0)</f>
        <v>6962.43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8" t="s">
        <v>88</v>
      </c>
      <c r="BK94" s="150">
        <f>ROUND(I94*H94,2)</f>
        <v>6962.43</v>
      </c>
      <c r="BL94" s="18" t="s">
        <v>191</v>
      </c>
      <c r="BM94" s="149" t="s">
        <v>1597</v>
      </c>
    </row>
    <row r="95" spans="2:65" s="1" customFormat="1" x14ac:dyDescent="0.3">
      <c r="B95" s="33"/>
      <c r="D95" s="151" t="s">
        <v>193</v>
      </c>
      <c r="F95" s="152" t="s">
        <v>677</v>
      </c>
      <c r="I95" s="153"/>
      <c r="L95" s="33"/>
      <c r="M95" s="154"/>
      <c r="T95" s="57"/>
      <c r="AT95" s="18" t="s">
        <v>193</v>
      </c>
      <c r="AU95" s="18" t="s">
        <v>20</v>
      </c>
    </row>
    <row r="96" spans="2:65" s="12" customFormat="1" ht="11.25" x14ac:dyDescent="0.3">
      <c r="B96" s="155"/>
      <c r="D96" s="156" t="s">
        <v>195</v>
      </c>
      <c r="E96" s="157" t="s">
        <v>1</v>
      </c>
      <c r="F96" s="158" t="s">
        <v>1598</v>
      </c>
      <c r="H96" s="159">
        <v>12.859</v>
      </c>
      <c r="I96" s="160"/>
      <c r="L96" s="155"/>
      <c r="M96" s="161"/>
      <c r="T96" s="162"/>
      <c r="AT96" s="157" t="s">
        <v>195</v>
      </c>
      <c r="AU96" s="157" t="s">
        <v>20</v>
      </c>
      <c r="AV96" s="12" t="s">
        <v>20</v>
      </c>
      <c r="AW96" s="12" t="s">
        <v>37</v>
      </c>
      <c r="AX96" s="12" t="s">
        <v>81</v>
      </c>
      <c r="AY96" s="157" t="s">
        <v>184</v>
      </c>
    </row>
    <row r="97" spans="2:65" s="12" customFormat="1" ht="11.25" x14ac:dyDescent="0.3">
      <c r="B97" s="155"/>
      <c r="D97" s="156" t="s">
        <v>195</v>
      </c>
      <c r="E97" s="157" t="s">
        <v>1</v>
      </c>
      <c r="F97" s="158" t="s">
        <v>1599</v>
      </c>
      <c r="H97" s="159">
        <v>17.533999999999999</v>
      </c>
      <c r="I97" s="160"/>
      <c r="L97" s="155"/>
      <c r="M97" s="161"/>
      <c r="T97" s="162"/>
      <c r="AT97" s="157" t="s">
        <v>195</v>
      </c>
      <c r="AU97" s="157" t="s">
        <v>20</v>
      </c>
      <c r="AV97" s="12" t="s">
        <v>20</v>
      </c>
      <c r="AW97" s="12" t="s">
        <v>37</v>
      </c>
      <c r="AX97" s="12" t="s">
        <v>81</v>
      </c>
      <c r="AY97" s="157" t="s">
        <v>184</v>
      </c>
    </row>
    <row r="98" spans="2:65" s="13" customFormat="1" ht="11.25" x14ac:dyDescent="0.3">
      <c r="B98" s="163"/>
      <c r="D98" s="156" t="s">
        <v>195</v>
      </c>
      <c r="E98" s="164" t="s">
        <v>1</v>
      </c>
      <c r="F98" s="165" t="s">
        <v>230</v>
      </c>
      <c r="H98" s="166">
        <v>30.393000000000001</v>
      </c>
      <c r="I98" s="167"/>
      <c r="L98" s="163"/>
      <c r="M98" s="168"/>
      <c r="T98" s="169"/>
      <c r="AT98" s="164" t="s">
        <v>195</v>
      </c>
      <c r="AU98" s="164" t="s">
        <v>20</v>
      </c>
      <c r="AV98" s="13" t="s">
        <v>191</v>
      </c>
      <c r="AW98" s="13" t="s">
        <v>37</v>
      </c>
      <c r="AX98" s="13" t="s">
        <v>88</v>
      </c>
      <c r="AY98" s="164" t="s">
        <v>184</v>
      </c>
    </row>
    <row r="99" spans="2:65" s="1" customFormat="1" ht="24.2" customHeight="1" x14ac:dyDescent="0.3">
      <c r="B99" s="33"/>
      <c r="C99" s="138" t="s">
        <v>191</v>
      </c>
      <c r="D99" s="138" t="s">
        <v>186</v>
      </c>
      <c r="E99" s="139" t="s">
        <v>222</v>
      </c>
      <c r="F99" s="140" t="s">
        <v>1452</v>
      </c>
      <c r="G99" s="141" t="s">
        <v>217</v>
      </c>
      <c r="H99" s="142">
        <v>34</v>
      </c>
      <c r="I99" s="143">
        <v>474.03</v>
      </c>
      <c r="J99" s="144">
        <f>ROUND(I99*H99,2)</f>
        <v>16117.02</v>
      </c>
      <c r="K99" s="140" t="s">
        <v>190</v>
      </c>
      <c r="L99" s="33"/>
      <c r="M99" s="145" t="s">
        <v>1</v>
      </c>
      <c r="N99" s="146" t="s">
        <v>47</v>
      </c>
      <c r="O99" s="147">
        <v>1.548</v>
      </c>
      <c r="P99" s="147">
        <f>O99*H99</f>
        <v>52.632000000000005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49" t="s">
        <v>191</v>
      </c>
      <c r="AT99" s="149" t="s">
        <v>186</v>
      </c>
      <c r="AU99" s="149" t="s">
        <v>20</v>
      </c>
      <c r="AY99" s="18" t="s">
        <v>184</v>
      </c>
      <c r="BE99" s="150">
        <f>IF(N99="základní",J99,0)</f>
        <v>16117.02</v>
      </c>
      <c r="BF99" s="150">
        <f>IF(N99="snížená",J99,0)</f>
        <v>0</v>
      </c>
      <c r="BG99" s="150">
        <f>IF(N99="zákl. přenesená",J99,0)</f>
        <v>0</v>
      </c>
      <c r="BH99" s="150">
        <f>IF(N99="sníž. přenesená",J99,0)</f>
        <v>0</v>
      </c>
      <c r="BI99" s="150">
        <f>IF(N99="nulová",J99,0)</f>
        <v>0</v>
      </c>
      <c r="BJ99" s="18" t="s">
        <v>88</v>
      </c>
      <c r="BK99" s="150">
        <f>ROUND(I99*H99,2)</f>
        <v>16117.02</v>
      </c>
      <c r="BL99" s="18" t="s">
        <v>191</v>
      </c>
      <c r="BM99" s="149" t="s">
        <v>1600</v>
      </c>
    </row>
    <row r="100" spans="2:65" s="1" customFormat="1" x14ac:dyDescent="0.3">
      <c r="B100" s="33"/>
      <c r="D100" s="151" t="s">
        <v>193</v>
      </c>
      <c r="F100" s="152" t="s">
        <v>225</v>
      </c>
      <c r="I100" s="153"/>
      <c r="L100" s="33"/>
      <c r="M100" s="154"/>
      <c r="T100" s="57"/>
      <c r="AT100" s="18" t="s">
        <v>193</v>
      </c>
      <c r="AU100" s="18" t="s">
        <v>20</v>
      </c>
    </row>
    <row r="101" spans="2:65" s="12" customFormat="1" ht="11.25" x14ac:dyDescent="0.3">
      <c r="B101" s="155"/>
      <c r="D101" s="156" t="s">
        <v>195</v>
      </c>
      <c r="E101" s="157" t="s">
        <v>1</v>
      </c>
      <c r="F101" s="158" t="s">
        <v>1601</v>
      </c>
      <c r="H101" s="159">
        <v>6.5</v>
      </c>
      <c r="I101" s="160"/>
      <c r="L101" s="155"/>
      <c r="M101" s="161"/>
      <c r="T101" s="162"/>
      <c r="AT101" s="157" t="s">
        <v>195</v>
      </c>
      <c r="AU101" s="157" t="s">
        <v>20</v>
      </c>
      <c r="AV101" s="12" t="s">
        <v>20</v>
      </c>
      <c r="AW101" s="12" t="s">
        <v>37</v>
      </c>
      <c r="AX101" s="12" t="s">
        <v>81</v>
      </c>
      <c r="AY101" s="157" t="s">
        <v>184</v>
      </c>
    </row>
    <row r="102" spans="2:65" s="12" customFormat="1" ht="11.25" x14ac:dyDescent="0.3">
      <c r="B102" s="155"/>
      <c r="D102" s="156" t="s">
        <v>195</v>
      </c>
      <c r="E102" s="157" t="s">
        <v>1</v>
      </c>
      <c r="F102" s="158" t="s">
        <v>1602</v>
      </c>
      <c r="H102" s="159">
        <v>7.5</v>
      </c>
      <c r="I102" s="160"/>
      <c r="L102" s="155"/>
      <c r="M102" s="161"/>
      <c r="T102" s="162"/>
      <c r="AT102" s="157" t="s">
        <v>195</v>
      </c>
      <c r="AU102" s="157" t="s">
        <v>20</v>
      </c>
      <c r="AV102" s="12" t="s">
        <v>20</v>
      </c>
      <c r="AW102" s="12" t="s">
        <v>37</v>
      </c>
      <c r="AX102" s="12" t="s">
        <v>81</v>
      </c>
      <c r="AY102" s="157" t="s">
        <v>184</v>
      </c>
    </row>
    <row r="103" spans="2:65" s="12" customFormat="1" ht="11.25" x14ac:dyDescent="0.3">
      <c r="B103" s="155"/>
      <c r="D103" s="156" t="s">
        <v>195</v>
      </c>
      <c r="E103" s="157" t="s">
        <v>1</v>
      </c>
      <c r="F103" s="158" t="s">
        <v>1603</v>
      </c>
      <c r="H103" s="159">
        <v>20</v>
      </c>
      <c r="I103" s="160"/>
      <c r="L103" s="155"/>
      <c r="M103" s="161"/>
      <c r="T103" s="162"/>
      <c r="AT103" s="157" t="s">
        <v>195</v>
      </c>
      <c r="AU103" s="157" t="s">
        <v>20</v>
      </c>
      <c r="AV103" s="12" t="s">
        <v>20</v>
      </c>
      <c r="AW103" s="12" t="s">
        <v>37</v>
      </c>
      <c r="AX103" s="12" t="s">
        <v>81</v>
      </c>
      <c r="AY103" s="157" t="s">
        <v>184</v>
      </c>
    </row>
    <row r="104" spans="2:65" s="13" customFormat="1" ht="11.25" x14ac:dyDescent="0.3">
      <c r="B104" s="163"/>
      <c r="D104" s="156" t="s">
        <v>195</v>
      </c>
      <c r="E104" s="164" t="s">
        <v>1</v>
      </c>
      <c r="F104" s="165" t="s">
        <v>230</v>
      </c>
      <c r="H104" s="166">
        <v>34</v>
      </c>
      <c r="I104" s="167"/>
      <c r="L104" s="163"/>
      <c r="M104" s="168"/>
      <c r="T104" s="169"/>
      <c r="AT104" s="164" t="s">
        <v>195</v>
      </c>
      <c r="AU104" s="164" t="s">
        <v>20</v>
      </c>
      <c r="AV104" s="13" t="s">
        <v>191</v>
      </c>
      <c r="AW104" s="13" t="s">
        <v>37</v>
      </c>
      <c r="AX104" s="13" t="s">
        <v>88</v>
      </c>
      <c r="AY104" s="164" t="s">
        <v>184</v>
      </c>
    </row>
    <row r="105" spans="2:65" s="1" customFormat="1" ht="24.2" customHeight="1" x14ac:dyDescent="0.3">
      <c r="B105" s="33"/>
      <c r="C105" s="138" t="s">
        <v>214</v>
      </c>
      <c r="D105" s="138" t="s">
        <v>186</v>
      </c>
      <c r="E105" s="139" t="s">
        <v>418</v>
      </c>
      <c r="F105" s="140" t="s">
        <v>1604</v>
      </c>
      <c r="G105" s="141" t="s">
        <v>217</v>
      </c>
      <c r="H105" s="142">
        <v>10.92</v>
      </c>
      <c r="I105" s="143">
        <v>1527.18</v>
      </c>
      <c r="J105" s="144">
        <f>ROUND(I105*H105,2)</f>
        <v>16676.810000000001</v>
      </c>
      <c r="K105" s="140" t="s">
        <v>190</v>
      </c>
      <c r="L105" s="33"/>
      <c r="M105" s="145" t="s">
        <v>1</v>
      </c>
      <c r="N105" s="146" t="s">
        <v>47</v>
      </c>
      <c r="O105" s="147">
        <v>2.3490000000000002</v>
      </c>
      <c r="P105" s="147">
        <f>O105*H105</f>
        <v>25.65108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AR105" s="149" t="s">
        <v>191</v>
      </c>
      <c r="AT105" s="149" t="s">
        <v>186</v>
      </c>
      <c r="AU105" s="149" t="s">
        <v>20</v>
      </c>
      <c r="AY105" s="18" t="s">
        <v>184</v>
      </c>
      <c r="BE105" s="150">
        <f>IF(N105="základní",J105,0)</f>
        <v>16676.810000000001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8" t="s">
        <v>88</v>
      </c>
      <c r="BK105" s="150">
        <f>ROUND(I105*H105,2)</f>
        <v>16676.810000000001</v>
      </c>
      <c r="BL105" s="18" t="s">
        <v>191</v>
      </c>
      <c r="BM105" s="149" t="s">
        <v>1605</v>
      </c>
    </row>
    <row r="106" spans="2:65" s="1" customFormat="1" x14ac:dyDescent="0.3">
      <c r="B106" s="33"/>
      <c r="D106" s="151" t="s">
        <v>193</v>
      </c>
      <c r="F106" s="152" t="s">
        <v>421</v>
      </c>
      <c r="I106" s="153"/>
      <c r="L106" s="33"/>
      <c r="M106" s="154"/>
      <c r="T106" s="57"/>
      <c r="AT106" s="18" t="s">
        <v>193</v>
      </c>
      <c r="AU106" s="18" t="s">
        <v>20</v>
      </c>
    </row>
    <row r="107" spans="2:65" s="12" customFormat="1" ht="11.25" x14ac:dyDescent="0.3">
      <c r="B107" s="155"/>
      <c r="D107" s="156" t="s">
        <v>195</v>
      </c>
      <c r="E107" s="157" t="s">
        <v>1</v>
      </c>
      <c r="F107" s="158" t="s">
        <v>1606</v>
      </c>
      <c r="H107" s="159">
        <v>10.92</v>
      </c>
      <c r="I107" s="160"/>
      <c r="L107" s="155"/>
      <c r="M107" s="161"/>
      <c r="T107" s="162"/>
      <c r="AT107" s="157" t="s">
        <v>195</v>
      </c>
      <c r="AU107" s="157" t="s">
        <v>20</v>
      </c>
      <c r="AV107" s="12" t="s">
        <v>20</v>
      </c>
      <c r="AW107" s="12" t="s">
        <v>37</v>
      </c>
      <c r="AX107" s="12" t="s">
        <v>88</v>
      </c>
      <c r="AY107" s="157" t="s">
        <v>184</v>
      </c>
    </row>
    <row r="108" spans="2:65" s="1" customFormat="1" ht="37.9" customHeight="1" x14ac:dyDescent="0.3">
      <c r="B108" s="33"/>
      <c r="C108" s="138" t="s">
        <v>221</v>
      </c>
      <c r="D108" s="138" t="s">
        <v>186</v>
      </c>
      <c r="E108" s="139" t="s">
        <v>1607</v>
      </c>
      <c r="F108" s="140" t="s">
        <v>1608</v>
      </c>
      <c r="G108" s="141" t="s">
        <v>217</v>
      </c>
      <c r="H108" s="142">
        <v>8.43</v>
      </c>
      <c r="I108" s="143">
        <v>114.14</v>
      </c>
      <c r="J108" s="144">
        <f>ROUND(I108*H108,2)</f>
        <v>962.2</v>
      </c>
      <c r="K108" s="140" t="s">
        <v>190</v>
      </c>
      <c r="L108" s="33"/>
      <c r="M108" s="145" t="s">
        <v>1</v>
      </c>
      <c r="N108" s="146" t="s">
        <v>47</v>
      </c>
      <c r="O108" s="147">
        <v>4.5999999999999999E-2</v>
      </c>
      <c r="P108" s="147">
        <f>O108*H108</f>
        <v>0.38777999999999996</v>
      </c>
      <c r="Q108" s="147">
        <v>0</v>
      </c>
      <c r="R108" s="147">
        <f>Q108*H108</f>
        <v>0</v>
      </c>
      <c r="S108" s="147">
        <v>0</v>
      </c>
      <c r="T108" s="148">
        <f>S108*H108</f>
        <v>0</v>
      </c>
      <c r="AR108" s="149" t="s">
        <v>191</v>
      </c>
      <c r="AT108" s="149" t="s">
        <v>186</v>
      </c>
      <c r="AU108" s="149" t="s">
        <v>20</v>
      </c>
      <c r="AY108" s="18" t="s">
        <v>184</v>
      </c>
      <c r="BE108" s="150">
        <f>IF(N108="základní",J108,0)</f>
        <v>962.2</v>
      </c>
      <c r="BF108" s="150">
        <f>IF(N108="snížená",J108,0)</f>
        <v>0</v>
      </c>
      <c r="BG108" s="150">
        <f>IF(N108="zákl. přenesená",J108,0)</f>
        <v>0</v>
      </c>
      <c r="BH108" s="150">
        <f>IF(N108="sníž. přenesená",J108,0)</f>
        <v>0</v>
      </c>
      <c r="BI108" s="150">
        <f>IF(N108="nulová",J108,0)</f>
        <v>0</v>
      </c>
      <c r="BJ108" s="18" t="s">
        <v>88</v>
      </c>
      <c r="BK108" s="150">
        <f>ROUND(I108*H108,2)</f>
        <v>962.2</v>
      </c>
      <c r="BL108" s="18" t="s">
        <v>191</v>
      </c>
      <c r="BM108" s="149" t="s">
        <v>1609</v>
      </c>
    </row>
    <row r="109" spans="2:65" s="1" customFormat="1" x14ac:dyDescent="0.3">
      <c r="B109" s="33"/>
      <c r="D109" s="151" t="s">
        <v>193</v>
      </c>
      <c r="F109" s="152" t="s">
        <v>1610</v>
      </c>
      <c r="I109" s="153"/>
      <c r="L109" s="33"/>
      <c r="M109" s="154"/>
      <c r="T109" s="57"/>
      <c r="AT109" s="18" t="s">
        <v>193</v>
      </c>
      <c r="AU109" s="18" t="s">
        <v>20</v>
      </c>
    </row>
    <row r="110" spans="2:65" s="12" customFormat="1" ht="11.25" x14ac:dyDescent="0.3">
      <c r="B110" s="155"/>
      <c r="D110" s="156" t="s">
        <v>195</v>
      </c>
      <c r="E110" s="157" t="s">
        <v>1</v>
      </c>
      <c r="F110" s="158" t="s">
        <v>1611</v>
      </c>
      <c r="H110" s="159">
        <v>8.43</v>
      </c>
      <c r="I110" s="160"/>
      <c r="L110" s="155"/>
      <c r="M110" s="161"/>
      <c r="T110" s="162"/>
      <c r="AT110" s="157" t="s">
        <v>195</v>
      </c>
      <c r="AU110" s="157" t="s">
        <v>20</v>
      </c>
      <c r="AV110" s="12" t="s">
        <v>20</v>
      </c>
      <c r="AW110" s="12" t="s">
        <v>37</v>
      </c>
      <c r="AX110" s="12" t="s">
        <v>88</v>
      </c>
      <c r="AY110" s="157" t="s">
        <v>184</v>
      </c>
    </row>
    <row r="111" spans="2:65" s="1" customFormat="1" ht="37.9" customHeight="1" x14ac:dyDescent="0.3">
      <c r="B111" s="33"/>
      <c r="C111" s="138" t="s">
        <v>231</v>
      </c>
      <c r="D111" s="138" t="s">
        <v>186</v>
      </c>
      <c r="E111" s="139" t="s">
        <v>232</v>
      </c>
      <c r="F111" s="140" t="s">
        <v>1464</v>
      </c>
      <c r="G111" s="141" t="s">
        <v>217</v>
      </c>
      <c r="H111" s="142">
        <v>30.393000000000001</v>
      </c>
      <c r="I111" s="143">
        <v>103.82</v>
      </c>
      <c r="J111" s="144">
        <f>ROUND(I111*H111,2)</f>
        <v>3155.4</v>
      </c>
      <c r="K111" s="140" t="s">
        <v>190</v>
      </c>
      <c r="L111" s="33"/>
      <c r="M111" s="145" t="s">
        <v>1</v>
      </c>
      <c r="N111" s="146" t="s">
        <v>47</v>
      </c>
      <c r="O111" s="147">
        <v>8.6999999999999994E-2</v>
      </c>
      <c r="P111" s="147">
        <f>O111*H111</f>
        <v>2.6441909999999997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49" t="s">
        <v>191</v>
      </c>
      <c r="AT111" s="149" t="s">
        <v>186</v>
      </c>
      <c r="AU111" s="149" t="s">
        <v>20</v>
      </c>
      <c r="AY111" s="18" t="s">
        <v>184</v>
      </c>
      <c r="BE111" s="150">
        <f>IF(N111="základní",J111,0)</f>
        <v>3155.4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8" t="s">
        <v>88</v>
      </c>
      <c r="BK111" s="150">
        <f>ROUND(I111*H111,2)</f>
        <v>3155.4</v>
      </c>
      <c r="BL111" s="18" t="s">
        <v>191</v>
      </c>
      <c r="BM111" s="149" t="s">
        <v>1612</v>
      </c>
    </row>
    <row r="112" spans="2:65" s="1" customFormat="1" x14ac:dyDescent="0.3">
      <c r="B112" s="33"/>
      <c r="D112" s="151" t="s">
        <v>193</v>
      </c>
      <c r="F112" s="152" t="s">
        <v>235</v>
      </c>
      <c r="I112" s="153"/>
      <c r="L112" s="33"/>
      <c r="M112" s="154"/>
      <c r="T112" s="57"/>
      <c r="AT112" s="18" t="s">
        <v>193</v>
      </c>
      <c r="AU112" s="18" t="s">
        <v>20</v>
      </c>
    </row>
    <row r="113" spans="2:65" s="12" customFormat="1" ht="11.25" x14ac:dyDescent="0.3">
      <c r="B113" s="155"/>
      <c r="D113" s="156" t="s">
        <v>195</v>
      </c>
      <c r="E113" s="157" t="s">
        <v>1</v>
      </c>
      <c r="F113" s="158" t="s">
        <v>1613</v>
      </c>
      <c r="H113" s="159">
        <v>30.393000000000001</v>
      </c>
      <c r="I113" s="160"/>
      <c r="L113" s="155"/>
      <c r="M113" s="161"/>
      <c r="T113" s="162"/>
      <c r="AT113" s="157" t="s">
        <v>195</v>
      </c>
      <c r="AU113" s="157" t="s">
        <v>20</v>
      </c>
      <c r="AV113" s="12" t="s">
        <v>20</v>
      </c>
      <c r="AW113" s="12" t="s">
        <v>37</v>
      </c>
      <c r="AX113" s="12" t="s">
        <v>88</v>
      </c>
      <c r="AY113" s="157" t="s">
        <v>184</v>
      </c>
    </row>
    <row r="114" spans="2:65" s="1" customFormat="1" ht="37.9" customHeight="1" x14ac:dyDescent="0.3">
      <c r="B114" s="33"/>
      <c r="C114" s="138" t="s">
        <v>239</v>
      </c>
      <c r="D114" s="138" t="s">
        <v>186</v>
      </c>
      <c r="E114" s="139" t="s">
        <v>240</v>
      </c>
      <c r="F114" s="140" t="s">
        <v>1467</v>
      </c>
      <c r="G114" s="141" t="s">
        <v>217</v>
      </c>
      <c r="H114" s="142">
        <v>121.572</v>
      </c>
      <c r="I114" s="143">
        <v>7.13</v>
      </c>
      <c r="J114" s="144">
        <f>ROUND(I114*H114,2)</f>
        <v>866.81</v>
      </c>
      <c r="K114" s="140" t="s">
        <v>190</v>
      </c>
      <c r="L114" s="33"/>
      <c r="M114" s="145" t="s">
        <v>1</v>
      </c>
      <c r="N114" s="146" t="s">
        <v>47</v>
      </c>
      <c r="O114" s="147">
        <v>5.0000000000000001E-3</v>
      </c>
      <c r="P114" s="147">
        <f>O114*H114</f>
        <v>0.60786000000000007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49" t="s">
        <v>191</v>
      </c>
      <c r="AT114" s="149" t="s">
        <v>186</v>
      </c>
      <c r="AU114" s="149" t="s">
        <v>20</v>
      </c>
      <c r="AY114" s="18" t="s">
        <v>184</v>
      </c>
      <c r="BE114" s="150">
        <f>IF(N114="základní",J114,0)</f>
        <v>866.81</v>
      </c>
      <c r="BF114" s="150">
        <f>IF(N114="snížená",J114,0)</f>
        <v>0</v>
      </c>
      <c r="BG114" s="150">
        <f>IF(N114="zákl. přenesená",J114,0)</f>
        <v>0</v>
      </c>
      <c r="BH114" s="150">
        <f>IF(N114="sníž. přenesená",J114,0)</f>
        <v>0</v>
      </c>
      <c r="BI114" s="150">
        <f>IF(N114="nulová",J114,0)</f>
        <v>0</v>
      </c>
      <c r="BJ114" s="18" t="s">
        <v>88</v>
      </c>
      <c r="BK114" s="150">
        <f>ROUND(I114*H114,2)</f>
        <v>866.81</v>
      </c>
      <c r="BL114" s="18" t="s">
        <v>191</v>
      </c>
      <c r="BM114" s="149" t="s">
        <v>1614</v>
      </c>
    </row>
    <row r="115" spans="2:65" s="1" customFormat="1" x14ac:dyDescent="0.3">
      <c r="B115" s="33"/>
      <c r="D115" s="151" t="s">
        <v>193</v>
      </c>
      <c r="F115" s="152" t="s">
        <v>243</v>
      </c>
      <c r="I115" s="153"/>
      <c r="L115" s="33"/>
      <c r="M115" s="154"/>
      <c r="T115" s="57"/>
      <c r="AT115" s="18" t="s">
        <v>193</v>
      </c>
      <c r="AU115" s="18" t="s">
        <v>20</v>
      </c>
    </row>
    <row r="116" spans="2:65" s="1" customFormat="1" ht="19.5" x14ac:dyDescent="0.3">
      <c r="B116" s="33"/>
      <c r="D116" s="156" t="s">
        <v>236</v>
      </c>
      <c r="F116" s="170" t="s">
        <v>1327</v>
      </c>
      <c r="I116" s="153"/>
      <c r="L116" s="33"/>
      <c r="M116" s="154"/>
      <c r="T116" s="57"/>
      <c r="AT116" s="18" t="s">
        <v>236</v>
      </c>
      <c r="AU116" s="18" t="s">
        <v>20</v>
      </c>
    </row>
    <row r="117" spans="2:65" s="12" customFormat="1" ht="11.25" x14ac:dyDescent="0.3">
      <c r="B117" s="155"/>
      <c r="D117" s="156" t="s">
        <v>195</v>
      </c>
      <c r="E117" s="157" t="s">
        <v>1</v>
      </c>
      <c r="F117" s="158" t="s">
        <v>1615</v>
      </c>
      <c r="H117" s="159">
        <v>121.572</v>
      </c>
      <c r="I117" s="160"/>
      <c r="L117" s="155"/>
      <c r="M117" s="161"/>
      <c r="T117" s="162"/>
      <c r="AT117" s="157" t="s">
        <v>195</v>
      </c>
      <c r="AU117" s="157" t="s">
        <v>20</v>
      </c>
      <c r="AV117" s="12" t="s">
        <v>20</v>
      </c>
      <c r="AW117" s="12" t="s">
        <v>37</v>
      </c>
      <c r="AX117" s="12" t="s">
        <v>88</v>
      </c>
      <c r="AY117" s="157" t="s">
        <v>184</v>
      </c>
    </row>
    <row r="118" spans="2:65" s="1" customFormat="1" ht="24.2" customHeight="1" x14ac:dyDescent="0.3">
      <c r="B118" s="33"/>
      <c r="C118" s="138" t="s">
        <v>245</v>
      </c>
      <c r="D118" s="138" t="s">
        <v>186</v>
      </c>
      <c r="E118" s="139" t="s">
        <v>246</v>
      </c>
      <c r="F118" s="140" t="s">
        <v>1470</v>
      </c>
      <c r="G118" s="141" t="s">
        <v>248</v>
      </c>
      <c r="H118" s="142">
        <v>60.786000000000001</v>
      </c>
      <c r="I118" s="143">
        <v>256.7</v>
      </c>
      <c r="J118" s="144">
        <f>ROUND(I118*H118,2)</f>
        <v>15603.77</v>
      </c>
      <c r="K118" s="140" t="s">
        <v>190</v>
      </c>
      <c r="L118" s="33"/>
      <c r="M118" s="145" t="s">
        <v>1</v>
      </c>
      <c r="N118" s="146" t="s">
        <v>47</v>
      </c>
      <c r="O118" s="147">
        <v>0</v>
      </c>
      <c r="P118" s="147">
        <f>O118*H118</f>
        <v>0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49" t="s">
        <v>191</v>
      </c>
      <c r="AT118" s="149" t="s">
        <v>186</v>
      </c>
      <c r="AU118" s="149" t="s">
        <v>20</v>
      </c>
      <c r="AY118" s="18" t="s">
        <v>184</v>
      </c>
      <c r="BE118" s="150">
        <f>IF(N118="základní",J118,0)</f>
        <v>15603.77</v>
      </c>
      <c r="BF118" s="150">
        <f>IF(N118="snížená",J118,0)</f>
        <v>0</v>
      </c>
      <c r="BG118" s="150">
        <f>IF(N118="zákl. přenesená",J118,0)</f>
        <v>0</v>
      </c>
      <c r="BH118" s="150">
        <f>IF(N118="sníž. přenesená",J118,0)</f>
        <v>0</v>
      </c>
      <c r="BI118" s="150">
        <f>IF(N118="nulová",J118,0)</f>
        <v>0</v>
      </c>
      <c r="BJ118" s="18" t="s">
        <v>88</v>
      </c>
      <c r="BK118" s="150">
        <f>ROUND(I118*H118,2)</f>
        <v>15603.77</v>
      </c>
      <c r="BL118" s="18" t="s">
        <v>191</v>
      </c>
      <c r="BM118" s="149" t="s">
        <v>1616</v>
      </c>
    </row>
    <row r="119" spans="2:65" s="1" customFormat="1" x14ac:dyDescent="0.3">
      <c r="B119" s="33"/>
      <c r="D119" s="151" t="s">
        <v>193</v>
      </c>
      <c r="F119" s="152" t="s">
        <v>250</v>
      </c>
      <c r="I119" s="153"/>
      <c r="L119" s="33"/>
      <c r="M119" s="154"/>
      <c r="T119" s="57"/>
      <c r="AT119" s="18" t="s">
        <v>193</v>
      </c>
      <c r="AU119" s="18" t="s">
        <v>20</v>
      </c>
    </row>
    <row r="120" spans="2:65" s="12" customFormat="1" ht="11.25" x14ac:dyDescent="0.3">
      <c r="B120" s="155"/>
      <c r="D120" s="156" t="s">
        <v>195</v>
      </c>
      <c r="E120" s="157" t="s">
        <v>1</v>
      </c>
      <c r="F120" s="158" t="s">
        <v>1617</v>
      </c>
      <c r="H120" s="159">
        <v>60.786000000000001</v>
      </c>
      <c r="I120" s="160"/>
      <c r="L120" s="155"/>
      <c r="M120" s="161"/>
      <c r="T120" s="162"/>
      <c r="AT120" s="157" t="s">
        <v>195</v>
      </c>
      <c r="AU120" s="157" t="s">
        <v>20</v>
      </c>
      <c r="AV120" s="12" t="s">
        <v>20</v>
      </c>
      <c r="AW120" s="12" t="s">
        <v>37</v>
      </c>
      <c r="AX120" s="12" t="s">
        <v>88</v>
      </c>
      <c r="AY120" s="157" t="s">
        <v>184</v>
      </c>
    </row>
    <row r="121" spans="2:65" s="1" customFormat="1" ht="24.2" customHeight="1" x14ac:dyDescent="0.3">
      <c r="B121" s="33"/>
      <c r="C121" s="138" t="s">
        <v>252</v>
      </c>
      <c r="D121" s="138" t="s">
        <v>186</v>
      </c>
      <c r="E121" s="139" t="s">
        <v>253</v>
      </c>
      <c r="F121" s="140" t="s">
        <v>1473</v>
      </c>
      <c r="G121" s="141" t="s">
        <v>217</v>
      </c>
      <c r="H121" s="142">
        <v>30.393000000000001</v>
      </c>
      <c r="I121" s="143">
        <v>30.54</v>
      </c>
      <c r="J121" s="144">
        <f>ROUND(I121*H121,2)</f>
        <v>928.2</v>
      </c>
      <c r="K121" s="140" t="s">
        <v>190</v>
      </c>
      <c r="L121" s="33"/>
      <c r="M121" s="145" t="s">
        <v>1</v>
      </c>
      <c r="N121" s="146" t="s">
        <v>47</v>
      </c>
      <c r="O121" s="147">
        <v>8.9999999999999993E-3</v>
      </c>
      <c r="P121" s="147">
        <f>O121*H121</f>
        <v>0.27353699999999997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AR121" s="149" t="s">
        <v>191</v>
      </c>
      <c r="AT121" s="149" t="s">
        <v>186</v>
      </c>
      <c r="AU121" s="149" t="s">
        <v>20</v>
      </c>
      <c r="AY121" s="18" t="s">
        <v>184</v>
      </c>
      <c r="BE121" s="150">
        <f>IF(N121="základní",J121,0)</f>
        <v>928.2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8" t="s">
        <v>88</v>
      </c>
      <c r="BK121" s="150">
        <f>ROUND(I121*H121,2)</f>
        <v>928.2</v>
      </c>
      <c r="BL121" s="18" t="s">
        <v>191</v>
      </c>
      <c r="BM121" s="149" t="s">
        <v>1618</v>
      </c>
    </row>
    <row r="122" spans="2:65" s="1" customFormat="1" x14ac:dyDescent="0.3">
      <c r="B122" s="33"/>
      <c r="D122" s="151" t="s">
        <v>193</v>
      </c>
      <c r="F122" s="152" t="s">
        <v>256</v>
      </c>
      <c r="I122" s="153"/>
      <c r="L122" s="33"/>
      <c r="M122" s="154"/>
      <c r="T122" s="57"/>
      <c r="AT122" s="18" t="s">
        <v>193</v>
      </c>
      <c r="AU122" s="18" t="s">
        <v>20</v>
      </c>
    </row>
    <row r="123" spans="2:65" s="1" customFormat="1" ht="16.5" customHeight="1" x14ac:dyDescent="0.3">
      <c r="B123" s="33"/>
      <c r="C123" s="138" t="s">
        <v>257</v>
      </c>
      <c r="D123" s="138" t="s">
        <v>186</v>
      </c>
      <c r="E123" s="139" t="s">
        <v>258</v>
      </c>
      <c r="F123" s="140" t="s">
        <v>1475</v>
      </c>
      <c r="G123" s="141" t="s">
        <v>189</v>
      </c>
      <c r="H123" s="142">
        <v>162.44800000000001</v>
      </c>
      <c r="I123" s="143">
        <v>38.18</v>
      </c>
      <c r="J123" s="144">
        <f>ROUND(I123*H123,2)</f>
        <v>6202.26</v>
      </c>
      <c r="K123" s="140" t="s">
        <v>190</v>
      </c>
      <c r="L123" s="33"/>
      <c r="M123" s="145" t="s">
        <v>1</v>
      </c>
      <c r="N123" s="146" t="s">
        <v>47</v>
      </c>
      <c r="O123" s="147">
        <v>2.9000000000000001E-2</v>
      </c>
      <c r="P123" s="147">
        <f>O123*H123</f>
        <v>4.7109920000000001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49" t="s">
        <v>191</v>
      </c>
      <c r="AT123" s="149" t="s">
        <v>186</v>
      </c>
      <c r="AU123" s="149" t="s">
        <v>20</v>
      </c>
      <c r="AY123" s="18" t="s">
        <v>184</v>
      </c>
      <c r="BE123" s="150">
        <f>IF(N123="základní",J123,0)</f>
        <v>6202.26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8" t="s">
        <v>88</v>
      </c>
      <c r="BK123" s="150">
        <f>ROUND(I123*H123,2)</f>
        <v>6202.26</v>
      </c>
      <c r="BL123" s="18" t="s">
        <v>191</v>
      </c>
      <c r="BM123" s="149" t="s">
        <v>1619</v>
      </c>
    </row>
    <row r="124" spans="2:65" s="1" customFormat="1" x14ac:dyDescent="0.3">
      <c r="B124" s="33"/>
      <c r="D124" s="151" t="s">
        <v>193</v>
      </c>
      <c r="F124" s="152" t="s">
        <v>1477</v>
      </c>
      <c r="I124" s="153"/>
      <c r="L124" s="33"/>
      <c r="M124" s="154"/>
      <c r="T124" s="57"/>
      <c r="AT124" s="18" t="s">
        <v>193</v>
      </c>
      <c r="AU124" s="18" t="s">
        <v>20</v>
      </c>
    </row>
    <row r="125" spans="2:65" s="1" customFormat="1" ht="19.5" x14ac:dyDescent="0.3">
      <c r="B125" s="33"/>
      <c r="D125" s="156" t="s">
        <v>236</v>
      </c>
      <c r="F125" s="170" t="s">
        <v>261</v>
      </c>
      <c r="I125" s="153"/>
      <c r="L125" s="33"/>
      <c r="M125" s="154"/>
      <c r="T125" s="57"/>
      <c r="AT125" s="18" t="s">
        <v>236</v>
      </c>
      <c r="AU125" s="18" t="s">
        <v>20</v>
      </c>
    </row>
    <row r="126" spans="2:65" s="12" customFormat="1" ht="11.25" x14ac:dyDescent="0.3">
      <c r="B126" s="155"/>
      <c r="D126" s="156" t="s">
        <v>195</v>
      </c>
      <c r="E126" s="157" t="s">
        <v>1</v>
      </c>
      <c r="F126" s="158" t="s">
        <v>1620</v>
      </c>
      <c r="H126" s="159">
        <v>162.44800000000001</v>
      </c>
      <c r="I126" s="160"/>
      <c r="L126" s="155"/>
      <c r="M126" s="161"/>
      <c r="T126" s="162"/>
      <c r="AT126" s="157" t="s">
        <v>195</v>
      </c>
      <c r="AU126" s="157" t="s">
        <v>20</v>
      </c>
      <c r="AV126" s="12" t="s">
        <v>20</v>
      </c>
      <c r="AW126" s="12" t="s">
        <v>37</v>
      </c>
      <c r="AX126" s="12" t="s">
        <v>88</v>
      </c>
      <c r="AY126" s="157" t="s">
        <v>184</v>
      </c>
    </row>
    <row r="127" spans="2:65" s="11" customFormat="1" ht="22.9" customHeight="1" x14ac:dyDescent="0.2">
      <c r="B127" s="127"/>
      <c r="D127" s="128" t="s">
        <v>80</v>
      </c>
      <c r="E127" s="136" t="s">
        <v>214</v>
      </c>
      <c r="F127" s="136" t="s">
        <v>263</v>
      </c>
      <c r="I127" s="171"/>
      <c r="J127" s="137">
        <f>BK127</f>
        <v>419986.16000000003</v>
      </c>
      <c r="L127" s="127"/>
      <c r="M127" s="131"/>
      <c r="P127" s="132">
        <f>SUM(P128:P152)</f>
        <v>124.29455999999999</v>
      </c>
      <c r="R127" s="132">
        <f>SUM(R128:R152)</f>
        <v>47.4478996</v>
      </c>
      <c r="T127" s="133">
        <f>SUM(T128:T152)</f>
        <v>0</v>
      </c>
      <c r="AR127" s="128" t="s">
        <v>88</v>
      </c>
      <c r="AT127" s="134" t="s">
        <v>80</v>
      </c>
      <c r="AU127" s="134" t="s">
        <v>88</v>
      </c>
      <c r="AY127" s="128" t="s">
        <v>184</v>
      </c>
      <c r="BK127" s="135">
        <f>SUM(BK128:BK152)</f>
        <v>419986.16000000003</v>
      </c>
    </row>
    <row r="128" spans="2:65" s="1" customFormat="1" ht="37.9" customHeight="1" x14ac:dyDescent="0.3">
      <c r="B128" s="33"/>
      <c r="C128" s="138" t="s">
        <v>264</v>
      </c>
      <c r="D128" s="138" t="s">
        <v>186</v>
      </c>
      <c r="E128" s="139" t="s">
        <v>265</v>
      </c>
      <c r="F128" s="140" t="s">
        <v>1479</v>
      </c>
      <c r="G128" s="141" t="s">
        <v>189</v>
      </c>
      <c r="H128" s="142">
        <v>58.448</v>
      </c>
      <c r="I128" s="143">
        <v>360.97</v>
      </c>
      <c r="J128" s="144">
        <f>ROUND(I128*H128,2)</f>
        <v>21097.97</v>
      </c>
      <c r="K128" s="140" t="s">
        <v>190</v>
      </c>
      <c r="L128" s="33"/>
      <c r="M128" s="145" t="s">
        <v>1</v>
      </c>
      <c r="N128" s="146" t="s">
        <v>47</v>
      </c>
      <c r="O128" s="147">
        <v>4.4999999999999998E-2</v>
      </c>
      <c r="P128" s="147">
        <f>O128*H128</f>
        <v>2.6301600000000001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191</v>
      </c>
      <c r="AT128" s="149" t="s">
        <v>186</v>
      </c>
      <c r="AU128" s="149" t="s">
        <v>20</v>
      </c>
      <c r="AY128" s="18" t="s">
        <v>184</v>
      </c>
      <c r="BE128" s="150">
        <f>IF(N128="základní",J128,0)</f>
        <v>21097.97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21097.97</v>
      </c>
      <c r="BL128" s="18" t="s">
        <v>191</v>
      </c>
      <c r="BM128" s="149" t="s">
        <v>1621</v>
      </c>
    </row>
    <row r="129" spans="2:65" s="1" customFormat="1" x14ac:dyDescent="0.3">
      <c r="B129" s="33"/>
      <c r="D129" s="151" t="s">
        <v>193</v>
      </c>
      <c r="F129" s="152" t="s">
        <v>268</v>
      </c>
      <c r="I129" s="153"/>
      <c r="L129" s="33"/>
      <c r="M129" s="154"/>
      <c r="T129" s="57"/>
      <c r="AT129" s="18" t="s">
        <v>193</v>
      </c>
      <c r="AU129" s="18" t="s">
        <v>20</v>
      </c>
    </row>
    <row r="130" spans="2:65" s="1" customFormat="1" ht="19.5" x14ac:dyDescent="0.3">
      <c r="B130" s="33"/>
      <c r="D130" s="156" t="s">
        <v>236</v>
      </c>
      <c r="F130" s="170" t="s">
        <v>261</v>
      </c>
      <c r="I130" s="153"/>
      <c r="L130" s="33"/>
      <c r="M130" s="154"/>
      <c r="T130" s="57"/>
      <c r="AT130" s="18" t="s">
        <v>236</v>
      </c>
      <c r="AU130" s="18" t="s">
        <v>20</v>
      </c>
    </row>
    <row r="131" spans="2:65" s="12" customFormat="1" ht="11.25" x14ac:dyDescent="0.3">
      <c r="B131" s="155"/>
      <c r="D131" s="156" t="s">
        <v>195</v>
      </c>
      <c r="E131" s="157" t="s">
        <v>1</v>
      </c>
      <c r="F131" s="158" t="s">
        <v>1622</v>
      </c>
      <c r="H131" s="159">
        <v>58.448</v>
      </c>
      <c r="I131" s="160"/>
      <c r="L131" s="155"/>
      <c r="M131" s="161"/>
      <c r="T131" s="162"/>
      <c r="AT131" s="157" t="s">
        <v>195</v>
      </c>
      <c r="AU131" s="157" t="s">
        <v>20</v>
      </c>
      <c r="AV131" s="12" t="s">
        <v>20</v>
      </c>
      <c r="AW131" s="12" t="s">
        <v>37</v>
      </c>
      <c r="AX131" s="12" t="s">
        <v>88</v>
      </c>
      <c r="AY131" s="157" t="s">
        <v>184</v>
      </c>
    </row>
    <row r="132" spans="2:65" s="1" customFormat="1" ht="16.5" customHeight="1" x14ac:dyDescent="0.3">
      <c r="B132" s="33"/>
      <c r="C132" s="172" t="s">
        <v>270</v>
      </c>
      <c r="D132" s="172" t="s">
        <v>271</v>
      </c>
      <c r="E132" s="173" t="s">
        <v>272</v>
      </c>
      <c r="F132" s="174" t="s">
        <v>273</v>
      </c>
      <c r="G132" s="175" t="s">
        <v>248</v>
      </c>
      <c r="H132" s="176">
        <v>1.349</v>
      </c>
      <c r="I132" s="177">
        <v>7944.56</v>
      </c>
      <c r="J132" s="178">
        <f>ROUND(I132*H132,2)</f>
        <v>10717.21</v>
      </c>
      <c r="K132" s="174" t="s">
        <v>190</v>
      </c>
      <c r="L132" s="179"/>
      <c r="M132" s="180" t="s">
        <v>1</v>
      </c>
      <c r="N132" s="181" t="s">
        <v>47</v>
      </c>
      <c r="O132" s="147">
        <v>0</v>
      </c>
      <c r="P132" s="147">
        <f>O132*H132</f>
        <v>0</v>
      </c>
      <c r="Q132" s="147">
        <v>1</v>
      </c>
      <c r="R132" s="147">
        <f>Q132*H132</f>
        <v>1.349</v>
      </c>
      <c r="S132" s="147">
        <v>0</v>
      </c>
      <c r="T132" s="148">
        <f>S132*H132</f>
        <v>0</v>
      </c>
      <c r="AR132" s="149" t="s">
        <v>239</v>
      </c>
      <c r="AT132" s="149" t="s">
        <v>271</v>
      </c>
      <c r="AU132" s="149" t="s">
        <v>20</v>
      </c>
      <c r="AY132" s="18" t="s">
        <v>184</v>
      </c>
      <c r="BE132" s="150">
        <f>IF(N132="základní",J132,0)</f>
        <v>10717.21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8" t="s">
        <v>88</v>
      </c>
      <c r="BK132" s="150">
        <f>ROUND(I132*H132,2)</f>
        <v>10717.21</v>
      </c>
      <c r="BL132" s="18" t="s">
        <v>191</v>
      </c>
      <c r="BM132" s="149" t="s">
        <v>1623</v>
      </c>
    </row>
    <row r="133" spans="2:65" s="12" customFormat="1" ht="11.25" x14ac:dyDescent="0.3">
      <c r="B133" s="155"/>
      <c r="D133" s="156" t="s">
        <v>195</v>
      </c>
      <c r="E133" s="157" t="s">
        <v>1</v>
      </c>
      <c r="F133" s="158" t="s">
        <v>1624</v>
      </c>
      <c r="H133" s="159">
        <v>1.349</v>
      </c>
      <c r="I133" s="160"/>
      <c r="L133" s="155"/>
      <c r="M133" s="161"/>
      <c r="T133" s="162"/>
      <c r="AT133" s="157" t="s">
        <v>195</v>
      </c>
      <c r="AU133" s="157" t="s">
        <v>20</v>
      </c>
      <c r="AV133" s="12" t="s">
        <v>20</v>
      </c>
      <c r="AW133" s="12" t="s">
        <v>37</v>
      </c>
      <c r="AX133" s="12" t="s">
        <v>88</v>
      </c>
      <c r="AY133" s="157" t="s">
        <v>184</v>
      </c>
    </row>
    <row r="134" spans="2:65" s="1" customFormat="1" ht="24.2" customHeight="1" x14ac:dyDescent="0.3">
      <c r="B134" s="33"/>
      <c r="C134" s="138" t="s">
        <v>276</v>
      </c>
      <c r="D134" s="138" t="s">
        <v>186</v>
      </c>
      <c r="E134" s="139" t="s">
        <v>425</v>
      </c>
      <c r="F134" s="140" t="s">
        <v>1625</v>
      </c>
      <c r="G134" s="141" t="s">
        <v>189</v>
      </c>
      <c r="H134" s="142">
        <v>155.97999999999999</v>
      </c>
      <c r="I134" s="143">
        <v>196.18</v>
      </c>
      <c r="J134" s="144">
        <f>ROUND(I134*H134,2)</f>
        <v>30600.16</v>
      </c>
      <c r="K134" s="140" t="s">
        <v>190</v>
      </c>
      <c r="L134" s="33"/>
      <c r="M134" s="145" t="s">
        <v>1</v>
      </c>
      <c r="N134" s="146" t="s">
        <v>47</v>
      </c>
      <c r="O134" s="147">
        <v>2.9000000000000001E-2</v>
      </c>
      <c r="P134" s="147">
        <f>O134*H134</f>
        <v>4.5234199999999998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191</v>
      </c>
      <c r="AT134" s="149" t="s">
        <v>186</v>
      </c>
      <c r="AU134" s="149" t="s">
        <v>20</v>
      </c>
      <c r="AY134" s="18" t="s">
        <v>184</v>
      </c>
      <c r="BE134" s="150">
        <f>IF(N134="základní",J134,0)</f>
        <v>30600.16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8" t="s">
        <v>88</v>
      </c>
      <c r="BK134" s="150">
        <f>ROUND(I134*H134,2)</f>
        <v>30600.16</v>
      </c>
      <c r="BL134" s="18" t="s">
        <v>191</v>
      </c>
      <c r="BM134" s="149" t="s">
        <v>1626</v>
      </c>
    </row>
    <row r="135" spans="2:65" s="1" customFormat="1" x14ac:dyDescent="0.3">
      <c r="B135" s="33"/>
      <c r="D135" s="151" t="s">
        <v>193</v>
      </c>
      <c r="F135" s="152" t="s">
        <v>428</v>
      </c>
      <c r="I135" s="153"/>
      <c r="L135" s="33"/>
      <c r="M135" s="154"/>
      <c r="T135" s="57"/>
      <c r="AT135" s="18" t="s">
        <v>193</v>
      </c>
      <c r="AU135" s="18" t="s">
        <v>20</v>
      </c>
    </row>
    <row r="136" spans="2:65" s="1" customFormat="1" ht="19.5" x14ac:dyDescent="0.3">
      <c r="B136" s="33"/>
      <c r="D136" s="156" t="s">
        <v>236</v>
      </c>
      <c r="F136" s="170" t="s">
        <v>429</v>
      </c>
      <c r="I136" s="153"/>
      <c r="L136" s="33"/>
      <c r="M136" s="154"/>
      <c r="T136" s="57"/>
      <c r="AT136" s="18" t="s">
        <v>236</v>
      </c>
      <c r="AU136" s="18" t="s">
        <v>20</v>
      </c>
    </row>
    <row r="137" spans="2:65" s="1" customFormat="1" ht="37.9" customHeight="1" x14ac:dyDescent="0.3">
      <c r="B137" s="33"/>
      <c r="C137" s="138" t="s">
        <v>7</v>
      </c>
      <c r="D137" s="138" t="s">
        <v>186</v>
      </c>
      <c r="E137" s="139" t="s">
        <v>430</v>
      </c>
      <c r="F137" s="140" t="s">
        <v>1627</v>
      </c>
      <c r="G137" s="141" t="s">
        <v>189</v>
      </c>
      <c r="H137" s="142">
        <v>155.97999999999999</v>
      </c>
      <c r="I137" s="143">
        <v>392.36</v>
      </c>
      <c r="J137" s="144">
        <f>ROUND(I137*H137,2)</f>
        <v>61200.31</v>
      </c>
      <c r="K137" s="140" t="s">
        <v>190</v>
      </c>
      <c r="L137" s="33"/>
      <c r="M137" s="145" t="s">
        <v>1</v>
      </c>
      <c r="N137" s="146" t="s">
        <v>47</v>
      </c>
      <c r="O137" s="147">
        <v>7.6999999999999999E-2</v>
      </c>
      <c r="P137" s="147">
        <f>O137*H137</f>
        <v>12.010459999999998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AR137" s="149" t="s">
        <v>191</v>
      </c>
      <c r="AT137" s="149" t="s">
        <v>186</v>
      </c>
      <c r="AU137" s="149" t="s">
        <v>20</v>
      </c>
      <c r="AY137" s="18" t="s">
        <v>184</v>
      </c>
      <c r="BE137" s="150">
        <f>IF(N137="základní",J137,0)</f>
        <v>61200.31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8" t="s">
        <v>88</v>
      </c>
      <c r="BK137" s="150">
        <f>ROUND(I137*H137,2)</f>
        <v>61200.31</v>
      </c>
      <c r="BL137" s="18" t="s">
        <v>191</v>
      </c>
      <c r="BM137" s="149" t="s">
        <v>1628</v>
      </c>
    </row>
    <row r="138" spans="2:65" s="1" customFormat="1" x14ac:dyDescent="0.3">
      <c r="B138" s="33"/>
      <c r="D138" s="151" t="s">
        <v>193</v>
      </c>
      <c r="F138" s="152" t="s">
        <v>433</v>
      </c>
      <c r="I138" s="153"/>
      <c r="L138" s="33"/>
      <c r="M138" s="154"/>
      <c r="T138" s="57"/>
      <c r="AT138" s="18" t="s">
        <v>193</v>
      </c>
      <c r="AU138" s="18" t="s">
        <v>20</v>
      </c>
    </row>
    <row r="139" spans="2:65" s="1" customFormat="1" ht="19.5" x14ac:dyDescent="0.3">
      <c r="B139" s="33"/>
      <c r="D139" s="156" t="s">
        <v>236</v>
      </c>
      <c r="F139" s="170" t="s">
        <v>434</v>
      </c>
      <c r="I139" s="153"/>
      <c r="L139" s="33"/>
      <c r="M139" s="154"/>
      <c r="T139" s="57"/>
      <c r="AT139" s="18" t="s">
        <v>236</v>
      </c>
      <c r="AU139" s="18" t="s">
        <v>20</v>
      </c>
    </row>
    <row r="140" spans="2:65" s="1" customFormat="1" ht="37.9" customHeight="1" x14ac:dyDescent="0.3">
      <c r="B140" s="33"/>
      <c r="C140" s="138" t="s">
        <v>287</v>
      </c>
      <c r="D140" s="138" t="s">
        <v>186</v>
      </c>
      <c r="E140" s="139" t="s">
        <v>435</v>
      </c>
      <c r="F140" s="140" t="s">
        <v>1629</v>
      </c>
      <c r="G140" s="141" t="s">
        <v>189</v>
      </c>
      <c r="H140" s="142">
        <v>155.97999999999999</v>
      </c>
      <c r="I140" s="143">
        <v>376.67</v>
      </c>
      <c r="J140" s="144">
        <f>ROUND(I140*H140,2)</f>
        <v>58752.99</v>
      </c>
      <c r="K140" s="140" t="s">
        <v>190</v>
      </c>
      <c r="L140" s="33"/>
      <c r="M140" s="145" t="s">
        <v>1</v>
      </c>
      <c r="N140" s="146" t="s">
        <v>47</v>
      </c>
      <c r="O140" s="147">
        <v>8.4000000000000005E-2</v>
      </c>
      <c r="P140" s="147">
        <f>O140*H140</f>
        <v>13.102320000000001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AR140" s="149" t="s">
        <v>191</v>
      </c>
      <c r="AT140" s="149" t="s">
        <v>186</v>
      </c>
      <c r="AU140" s="149" t="s">
        <v>20</v>
      </c>
      <c r="AY140" s="18" t="s">
        <v>184</v>
      </c>
      <c r="BE140" s="150">
        <f>IF(N140="základní",J140,0)</f>
        <v>58752.99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8" t="s">
        <v>88</v>
      </c>
      <c r="BK140" s="150">
        <f>ROUND(I140*H140,2)</f>
        <v>58752.99</v>
      </c>
      <c r="BL140" s="18" t="s">
        <v>191</v>
      </c>
      <c r="BM140" s="149" t="s">
        <v>1630</v>
      </c>
    </row>
    <row r="141" spans="2:65" s="1" customFormat="1" x14ac:dyDescent="0.3">
      <c r="B141" s="33"/>
      <c r="D141" s="151" t="s">
        <v>193</v>
      </c>
      <c r="F141" s="152" t="s">
        <v>438</v>
      </c>
      <c r="I141" s="153"/>
      <c r="L141" s="33"/>
      <c r="M141" s="154"/>
      <c r="T141" s="57"/>
      <c r="AT141" s="18" t="s">
        <v>193</v>
      </c>
      <c r="AU141" s="18" t="s">
        <v>20</v>
      </c>
    </row>
    <row r="142" spans="2:65" s="1" customFormat="1" ht="19.5" x14ac:dyDescent="0.3">
      <c r="B142" s="33"/>
      <c r="D142" s="156" t="s">
        <v>236</v>
      </c>
      <c r="F142" s="170" t="s">
        <v>439</v>
      </c>
      <c r="I142" s="153"/>
      <c r="L142" s="33"/>
      <c r="M142" s="154"/>
      <c r="T142" s="57"/>
      <c r="AT142" s="18" t="s">
        <v>236</v>
      </c>
      <c r="AU142" s="18" t="s">
        <v>20</v>
      </c>
    </row>
    <row r="143" spans="2:65" s="1" customFormat="1" ht="16.5" customHeight="1" x14ac:dyDescent="0.3">
      <c r="B143" s="33"/>
      <c r="C143" s="172" t="s">
        <v>293</v>
      </c>
      <c r="D143" s="172" t="s">
        <v>271</v>
      </c>
      <c r="E143" s="173" t="s">
        <v>440</v>
      </c>
      <c r="F143" s="174" t="s">
        <v>441</v>
      </c>
      <c r="G143" s="175" t="s">
        <v>248</v>
      </c>
      <c r="H143" s="176">
        <v>3.9</v>
      </c>
      <c r="I143" s="177">
        <v>5336.26</v>
      </c>
      <c r="J143" s="178">
        <f>ROUND(I143*H143,2)</f>
        <v>20811.41</v>
      </c>
      <c r="K143" s="174" t="s">
        <v>190</v>
      </c>
      <c r="L143" s="179"/>
      <c r="M143" s="180" t="s">
        <v>1</v>
      </c>
      <c r="N143" s="181" t="s">
        <v>47</v>
      </c>
      <c r="O143" s="147">
        <v>0</v>
      </c>
      <c r="P143" s="147">
        <f>O143*H143</f>
        <v>0</v>
      </c>
      <c r="Q143" s="147">
        <v>1</v>
      </c>
      <c r="R143" s="147">
        <f>Q143*H143</f>
        <v>3.9</v>
      </c>
      <c r="S143" s="147">
        <v>0</v>
      </c>
      <c r="T143" s="148">
        <f>S143*H143</f>
        <v>0</v>
      </c>
      <c r="AR143" s="149" t="s">
        <v>239</v>
      </c>
      <c r="AT143" s="149" t="s">
        <v>271</v>
      </c>
      <c r="AU143" s="149" t="s">
        <v>20</v>
      </c>
      <c r="AY143" s="18" t="s">
        <v>184</v>
      </c>
      <c r="BE143" s="150">
        <f>IF(N143="základní",J143,0)</f>
        <v>20811.41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8" t="s">
        <v>88</v>
      </c>
      <c r="BK143" s="150">
        <f>ROUND(I143*H143,2)</f>
        <v>20811.41</v>
      </c>
      <c r="BL143" s="18" t="s">
        <v>191</v>
      </c>
      <c r="BM143" s="149" t="s">
        <v>1631</v>
      </c>
    </row>
    <row r="144" spans="2:65" s="12" customFormat="1" ht="11.25" x14ac:dyDescent="0.3">
      <c r="B144" s="155"/>
      <c r="D144" s="156" t="s">
        <v>195</v>
      </c>
      <c r="E144" s="157" t="s">
        <v>1</v>
      </c>
      <c r="F144" s="158" t="s">
        <v>1632</v>
      </c>
      <c r="H144" s="159">
        <v>3.9</v>
      </c>
      <c r="I144" s="160"/>
      <c r="L144" s="155"/>
      <c r="M144" s="161"/>
      <c r="T144" s="162"/>
      <c r="AT144" s="157" t="s">
        <v>195</v>
      </c>
      <c r="AU144" s="157" t="s">
        <v>20</v>
      </c>
      <c r="AV144" s="12" t="s">
        <v>20</v>
      </c>
      <c r="AW144" s="12" t="s">
        <v>37</v>
      </c>
      <c r="AX144" s="12" t="s">
        <v>88</v>
      </c>
      <c r="AY144" s="157" t="s">
        <v>184</v>
      </c>
    </row>
    <row r="145" spans="2:65" s="1" customFormat="1" ht="16.5" customHeight="1" x14ac:dyDescent="0.3">
      <c r="B145" s="33"/>
      <c r="C145" s="172" t="s">
        <v>299</v>
      </c>
      <c r="D145" s="172" t="s">
        <v>271</v>
      </c>
      <c r="E145" s="173" t="s">
        <v>444</v>
      </c>
      <c r="F145" s="174" t="s">
        <v>445</v>
      </c>
      <c r="G145" s="175" t="s">
        <v>446</v>
      </c>
      <c r="H145" s="176">
        <v>62.392000000000003</v>
      </c>
      <c r="I145" s="177">
        <v>627.78</v>
      </c>
      <c r="J145" s="178">
        <f>ROUND(I145*H145,2)</f>
        <v>39168.449999999997</v>
      </c>
      <c r="K145" s="174" t="s">
        <v>190</v>
      </c>
      <c r="L145" s="179"/>
      <c r="M145" s="180" t="s">
        <v>1</v>
      </c>
      <c r="N145" s="181" t="s">
        <v>47</v>
      </c>
      <c r="O145" s="147">
        <v>0</v>
      </c>
      <c r="P145" s="147">
        <f>O145*H145</f>
        <v>0</v>
      </c>
      <c r="Q145" s="147">
        <v>1E-3</v>
      </c>
      <c r="R145" s="147">
        <f>Q145*H145</f>
        <v>6.2392000000000003E-2</v>
      </c>
      <c r="S145" s="147">
        <v>0</v>
      </c>
      <c r="T145" s="148">
        <f>S145*H145</f>
        <v>0</v>
      </c>
      <c r="AR145" s="149" t="s">
        <v>239</v>
      </c>
      <c r="AT145" s="149" t="s">
        <v>271</v>
      </c>
      <c r="AU145" s="149" t="s">
        <v>20</v>
      </c>
      <c r="AY145" s="18" t="s">
        <v>184</v>
      </c>
      <c r="BE145" s="150">
        <f>IF(N145="základní",J145,0)</f>
        <v>39168.449999999997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8" t="s">
        <v>88</v>
      </c>
      <c r="BK145" s="150">
        <f>ROUND(I145*H145,2)</f>
        <v>39168.449999999997</v>
      </c>
      <c r="BL145" s="18" t="s">
        <v>191</v>
      </c>
      <c r="BM145" s="149" t="s">
        <v>1633</v>
      </c>
    </row>
    <row r="146" spans="2:65" s="12" customFormat="1" ht="11.25" x14ac:dyDescent="0.3">
      <c r="B146" s="155"/>
      <c r="D146" s="156" t="s">
        <v>195</v>
      </c>
      <c r="E146" s="157" t="s">
        <v>1</v>
      </c>
      <c r="F146" s="158" t="s">
        <v>1634</v>
      </c>
      <c r="H146" s="159">
        <v>62.392000000000003</v>
      </c>
      <c r="I146" s="160"/>
      <c r="L146" s="155"/>
      <c r="M146" s="161"/>
      <c r="T146" s="162"/>
      <c r="AT146" s="157" t="s">
        <v>195</v>
      </c>
      <c r="AU146" s="157" t="s">
        <v>20</v>
      </c>
      <c r="AV146" s="12" t="s">
        <v>20</v>
      </c>
      <c r="AW146" s="12" t="s">
        <v>37</v>
      </c>
      <c r="AX146" s="12" t="s">
        <v>88</v>
      </c>
      <c r="AY146" s="157" t="s">
        <v>184</v>
      </c>
    </row>
    <row r="147" spans="2:65" s="1" customFormat="1" ht="44.25" customHeight="1" x14ac:dyDescent="0.3">
      <c r="B147" s="33"/>
      <c r="C147" s="138" t="s">
        <v>305</v>
      </c>
      <c r="D147" s="138" t="s">
        <v>186</v>
      </c>
      <c r="E147" s="139" t="s">
        <v>698</v>
      </c>
      <c r="F147" s="140" t="s">
        <v>1635</v>
      </c>
      <c r="G147" s="141" t="s">
        <v>189</v>
      </c>
      <c r="H147" s="142">
        <v>155.97999999999999</v>
      </c>
      <c r="I147" s="143">
        <v>674.86</v>
      </c>
      <c r="J147" s="144">
        <f>ROUND(I147*H147,2)</f>
        <v>105264.66</v>
      </c>
      <c r="K147" s="140" t="s">
        <v>190</v>
      </c>
      <c r="L147" s="33"/>
      <c r="M147" s="145" t="s">
        <v>1</v>
      </c>
      <c r="N147" s="146" t="s">
        <v>47</v>
      </c>
      <c r="O147" s="147">
        <v>0.59</v>
      </c>
      <c r="P147" s="147">
        <f>O147*H147</f>
        <v>92.028199999999984</v>
      </c>
      <c r="Q147" s="147">
        <v>9.0620000000000006E-2</v>
      </c>
      <c r="R147" s="147">
        <f>Q147*H147</f>
        <v>14.1349076</v>
      </c>
      <c r="S147" s="147">
        <v>0</v>
      </c>
      <c r="T147" s="148">
        <f>S147*H147</f>
        <v>0</v>
      </c>
      <c r="AR147" s="149" t="s">
        <v>191</v>
      </c>
      <c r="AT147" s="149" t="s">
        <v>186</v>
      </c>
      <c r="AU147" s="149" t="s">
        <v>20</v>
      </c>
      <c r="AY147" s="18" t="s">
        <v>184</v>
      </c>
      <c r="BE147" s="150">
        <f>IF(N147="základní",J147,0)</f>
        <v>105264.66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8" t="s">
        <v>88</v>
      </c>
      <c r="BK147" s="150">
        <f>ROUND(I147*H147,2)</f>
        <v>105264.66</v>
      </c>
      <c r="BL147" s="18" t="s">
        <v>191</v>
      </c>
      <c r="BM147" s="149" t="s">
        <v>1636</v>
      </c>
    </row>
    <row r="148" spans="2:65" s="1" customFormat="1" x14ac:dyDescent="0.3">
      <c r="B148" s="33"/>
      <c r="D148" s="151" t="s">
        <v>193</v>
      </c>
      <c r="F148" s="152" t="s">
        <v>701</v>
      </c>
      <c r="I148" s="153"/>
      <c r="L148" s="33"/>
      <c r="M148" s="154"/>
      <c r="T148" s="57"/>
      <c r="AT148" s="18" t="s">
        <v>193</v>
      </c>
      <c r="AU148" s="18" t="s">
        <v>20</v>
      </c>
    </row>
    <row r="149" spans="2:65" s="12" customFormat="1" ht="11.25" x14ac:dyDescent="0.3">
      <c r="B149" s="155"/>
      <c r="D149" s="156" t="s">
        <v>195</v>
      </c>
      <c r="E149" s="157" t="s">
        <v>1</v>
      </c>
      <c r="F149" s="158" t="s">
        <v>1637</v>
      </c>
      <c r="H149" s="159">
        <v>155.97999999999999</v>
      </c>
      <c r="I149" s="160"/>
      <c r="L149" s="155"/>
      <c r="M149" s="161"/>
      <c r="T149" s="162"/>
      <c r="AT149" s="157" t="s">
        <v>195</v>
      </c>
      <c r="AU149" s="157" t="s">
        <v>20</v>
      </c>
      <c r="AV149" s="12" t="s">
        <v>20</v>
      </c>
      <c r="AW149" s="12" t="s">
        <v>37</v>
      </c>
      <c r="AX149" s="12" t="s">
        <v>88</v>
      </c>
      <c r="AY149" s="157" t="s">
        <v>184</v>
      </c>
    </row>
    <row r="150" spans="2:65" s="1" customFormat="1" ht="16.5" customHeight="1" x14ac:dyDescent="0.3">
      <c r="B150" s="33"/>
      <c r="C150" s="172" t="s">
        <v>311</v>
      </c>
      <c r="D150" s="172" t="s">
        <v>271</v>
      </c>
      <c r="E150" s="173" t="s">
        <v>453</v>
      </c>
      <c r="F150" s="174" t="s">
        <v>454</v>
      </c>
      <c r="G150" s="175" t="s">
        <v>189</v>
      </c>
      <c r="H150" s="176">
        <v>159.1</v>
      </c>
      <c r="I150" s="177">
        <v>454.89</v>
      </c>
      <c r="J150" s="178">
        <f>ROUND(I150*H150,2)</f>
        <v>72373</v>
      </c>
      <c r="K150" s="174" t="s">
        <v>190</v>
      </c>
      <c r="L150" s="179"/>
      <c r="M150" s="180" t="s">
        <v>1</v>
      </c>
      <c r="N150" s="181" t="s">
        <v>47</v>
      </c>
      <c r="O150" s="147">
        <v>0</v>
      </c>
      <c r="P150" s="147">
        <f>O150*H150</f>
        <v>0</v>
      </c>
      <c r="Q150" s="147">
        <v>0.17599999999999999</v>
      </c>
      <c r="R150" s="147">
        <f>Q150*H150</f>
        <v>28.001599999999996</v>
      </c>
      <c r="S150" s="147">
        <v>0</v>
      </c>
      <c r="T150" s="148">
        <f>S150*H150</f>
        <v>0</v>
      </c>
      <c r="AR150" s="149" t="s">
        <v>239</v>
      </c>
      <c r="AT150" s="149" t="s">
        <v>271</v>
      </c>
      <c r="AU150" s="149" t="s">
        <v>20</v>
      </c>
      <c r="AY150" s="18" t="s">
        <v>184</v>
      </c>
      <c r="BE150" s="150">
        <f>IF(N150="základní",J150,0)</f>
        <v>72373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8" t="s">
        <v>88</v>
      </c>
      <c r="BK150" s="150">
        <f>ROUND(I150*H150,2)</f>
        <v>72373</v>
      </c>
      <c r="BL150" s="18" t="s">
        <v>191</v>
      </c>
      <c r="BM150" s="149" t="s">
        <v>1638</v>
      </c>
    </row>
    <row r="151" spans="2:65" s="12" customFormat="1" ht="11.25" x14ac:dyDescent="0.3">
      <c r="B151" s="155"/>
      <c r="D151" s="156" t="s">
        <v>195</v>
      </c>
      <c r="E151" s="157" t="s">
        <v>1</v>
      </c>
      <c r="F151" s="158" t="s">
        <v>1639</v>
      </c>
      <c r="H151" s="159">
        <v>155.97999999999999</v>
      </c>
      <c r="I151" s="160"/>
      <c r="L151" s="155"/>
      <c r="M151" s="161"/>
      <c r="T151" s="162"/>
      <c r="AT151" s="157" t="s">
        <v>195</v>
      </c>
      <c r="AU151" s="157" t="s">
        <v>20</v>
      </c>
      <c r="AV151" s="12" t="s">
        <v>20</v>
      </c>
      <c r="AW151" s="12" t="s">
        <v>37</v>
      </c>
      <c r="AX151" s="12" t="s">
        <v>81</v>
      </c>
      <c r="AY151" s="157" t="s">
        <v>184</v>
      </c>
    </row>
    <row r="152" spans="2:65" s="12" customFormat="1" ht="11.25" x14ac:dyDescent="0.3">
      <c r="B152" s="155"/>
      <c r="D152" s="156" t="s">
        <v>195</v>
      </c>
      <c r="E152" s="157" t="s">
        <v>1</v>
      </c>
      <c r="F152" s="158" t="s">
        <v>1640</v>
      </c>
      <c r="H152" s="159">
        <v>159.1</v>
      </c>
      <c r="I152" s="160"/>
      <c r="L152" s="155"/>
      <c r="M152" s="161"/>
      <c r="T152" s="162"/>
      <c r="AT152" s="157" t="s">
        <v>195</v>
      </c>
      <c r="AU152" s="157" t="s">
        <v>20</v>
      </c>
      <c r="AV152" s="12" t="s">
        <v>20</v>
      </c>
      <c r="AW152" s="12" t="s">
        <v>37</v>
      </c>
      <c r="AX152" s="12" t="s">
        <v>88</v>
      </c>
      <c r="AY152" s="157" t="s">
        <v>184</v>
      </c>
    </row>
    <row r="153" spans="2:65" s="11" customFormat="1" ht="22.9" customHeight="1" x14ac:dyDescent="0.2">
      <c r="B153" s="127"/>
      <c r="D153" s="128" t="s">
        <v>80</v>
      </c>
      <c r="E153" s="136" t="s">
        <v>245</v>
      </c>
      <c r="F153" s="136" t="s">
        <v>304</v>
      </c>
      <c r="I153" s="171"/>
      <c r="J153" s="137">
        <f>BK153</f>
        <v>161011.37000000002</v>
      </c>
      <c r="L153" s="127"/>
      <c r="M153" s="131"/>
      <c r="P153" s="132">
        <f>SUM(P154:P197)</f>
        <v>48.614080000000001</v>
      </c>
      <c r="R153" s="132">
        <f>SUM(R154:R197)</f>
        <v>35.199158300000001</v>
      </c>
      <c r="T153" s="133">
        <f>SUM(T154:T197)</f>
        <v>4.6793999999999993</v>
      </c>
      <c r="AR153" s="128" t="s">
        <v>88</v>
      </c>
      <c r="AT153" s="134" t="s">
        <v>80</v>
      </c>
      <c r="AU153" s="134" t="s">
        <v>88</v>
      </c>
      <c r="AY153" s="128" t="s">
        <v>184</v>
      </c>
      <c r="BK153" s="135">
        <f>SUM(BK154:BK197)</f>
        <v>161011.37000000002</v>
      </c>
    </row>
    <row r="154" spans="2:65" s="1" customFormat="1" ht="16.5" customHeight="1" x14ac:dyDescent="0.3">
      <c r="B154" s="33"/>
      <c r="C154" s="138" t="s">
        <v>6</v>
      </c>
      <c r="D154" s="138" t="s">
        <v>186</v>
      </c>
      <c r="E154" s="139" t="s">
        <v>555</v>
      </c>
      <c r="F154" s="140" t="s">
        <v>1641</v>
      </c>
      <c r="G154" s="141" t="s">
        <v>557</v>
      </c>
      <c r="H154" s="142">
        <v>2</v>
      </c>
      <c r="I154" s="143">
        <v>381.79</v>
      </c>
      <c r="J154" s="144">
        <f>ROUND(I154*H154,2)</f>
        <v>763.58</v>
      </c>
      <c r="K154" s="140" t="s">
        <v>190</v>
      </c>
      <c r="L154" s="33"/>
      <c r="M154" s="145" t="s">
        <v>1</v>
      </c>
      <c r="N154" s="146" t="s">
        <v>47</v>
      </c>
      <c r="O154" s="147">
        <v>0.2</v>
      </c>
      <c r="P154" s="147">
        <f>O154*H154</f>
        <v>0.4</v>
      </c>
      <c r="Q154" s="147">
        <v>6.9999999999999999E-4</v>
      </c>
      <c r="R154" s="147">
        <f>Q154*H154</f>
        <v>1.4E-3</v>
      </c>
      <c r="S154" s="147">
        <v>0</v>
      </c>
      <c r="T154" s="148">
        <f>S154*H154</f>
        <v>0</v>
      </c>
      <c r="AR154" s="149" t="s">
        <v>191</v>
      </c>
      <c r="AT154" s="149" t="s">
        <v>186</v>
      </c>
      <c r="AU154" s="149" t="s">
        <v>20</v>
      </c>
      <c r="AY154" s="18" t="s">
        <v>184</v>
      </c>
      <c r="BE154" s="150">
        <f>IF(N154="základní",J154,0)</f>
        <v>763.58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88</v>
      </c>
      <c r="BK154" s="150">
        <f>ROUND(I154*H154,2)</f>
        <v>763.58</v>
      </c>
      <c r="BL154" s="18" t="s">
        <v>191</v>
      </c>
      <c r="BM154" s="149" t="s">
        <v>1642</v>
      </c>
    </row>
    <row r="155" spans="2:65" s="1" customFormat="1" x14ac:dyDescent="0.3">
      <c r="B155" s="33"/>
      <c r="D155" s="151" t="s">
        <v>193</v>
      </c>
      <c r="F155" s="152" t="s">
        <v>559</v>
      </c>
      <c r="I155" s="153"/>
      <c r="L155" s="33"/>
      <c r="M155" s="154"/>
      <c r="T155" s="57"/>
      <c r="AT155" s="18" t="s">
        <v>193</v>
      </c>
      <c r="AU155" s="18" t="s">
        <v>20</v>
      </c>
    </row>
    <row r="156" spans="2:65" s="12" customFormat="1" ht="11.25" x14ac:dyDescent="0.3">
      <c r="B156" s="155"/>
      <c r="D156" s="156" t="s">
        <v>195</v>
      </c>
      <c r="E156" s="157" t="s">
        <v>1</v>
      </c>
      <c r="F156" s="158" t="s">
        <v>1643</v>
      </c>
      <c r="H156" s="159">
        <v>2</v>
      </c>
      <c r="I156" s="160"/>
      <c r="L156" s="155"/>
      <c r="M156" s="161"/>
      <c r="T156" s="162"/>
      <c r="AT156" s="157" t="s">
        <v>195</v>
      </c>
      <c r="AU156" s="157" t="s">
        <v>20</v>
      </c>
      <c r="AV156" s="12" t="s">
        <v>20</v>
      </c>
      <c r="AW156" s="12" t="s">
        <v>37</v>
      </c>
      <c r="AX156" s="12" t="s">
        <v>88</v>
      </c>
      <c r="AY156" s="157" t="s">
        <v>184</v>
      </c>
    </row>
    <row r="157" spans="2:65" s="1" customFormat="1" ht="16.5" customHeight="1" x14ac:dyDescent="0.3">
      <c r="B157" s="33"/>
      <c r="C157" s="172" t="s">
        <v>322</v>
      </c>
      <c r="D157" s="172" t="s">
        <v>271</v>
      </c>
      <c r="E157" s="173" t="s">
        <v>1644</v>
      </c>
      <c r="F157" s="174" t="s">
        <v>1645</v>
      </c>
      <c r="G157" s="175" t="s">
        <v>557</v>
      </c>
      <c r="H157" s="176">
        <v>1</v>
      </c>
      <c r="I157" s="177">
        <v>1230.9000000000001</v>
      </c>
      <c r="J157" s="178">
        <f>ROUND(I157*H157,2)</f>
        <v>1230.9000000000001</v>
      </c>
      <c r="K157" s="174" t="s">
        <v>190</v>
      </c>
      <c r="L157" s="179"/>
      <c r="M157" s="180" t="s">
        <v>1</v>
      </c>
      <c r="N157" s="181" t="s">
        <v>47</v>
      </c>
      <c r="O157" s="147">
        <v>0</v>
      </c>
      <c r="P157" s="147">
        <f>O157*H157</f>
        <v>0</v>
      </c>
      <c r="Q157" s="147">
        <v>3.5000000000000001E-3</v>
      </c>
      <c r="R157" s="147">
        <f>Q157*H157</f>
        <v>3.5000000000000001E-3</v>
      </c>
      <c r="S157" s="147">
        <v>0</v>
      </c>
      <c r="T157" s="148">
        <f>S157*H157</f>
        <v>0</v>
      </c>
      <c r="AR157" s="149" t="s">
        <v>239</v>
      </c>
      <c r="AT157" s="149" t="s">
        <v>271</v>
      </c>
      <c r="AU157" s="149" t="s">
        <v>20</v>
      </c>
      <c r="AY157" s="18" t="s">
        <v>184</v>
      </c>
      <c r="BE157" s="150">
        <f>IF(N157="základní",J157,0)</f>
        <v>1230.9000000000001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8" t="s">
        <v>88</v>
      </c>
      <c r="BK157" s="150">
        <f>ROUND(I157*H157,2)</f>
        <v>1230.9000000000001</v>
      </c>
      <c r="BL157" s="18" t="s">
        <v>191</v>
      </c>
      <c r="BM157" s="149" t="s">
        <v>1646</v>
      </c>
    </row>
    <row r="158" spans="2:65" s="12" customFormat="1" ht="11.25" x14ac:dyDescent="0.3">
      <c r="B158" s="155"/>
      <c r="D158" s="156" t="s">
        <v>195</v>
      </c>
      <c r="E158" s="157" t="s">
        <v>1</v>
      </c>
      <c r="F158" s="158" t="s">
        <v>1647</v>
      </c>
      <c r="H158" s="159">
        <v>1</v>
      </c>
      <c r="I158" s="160"/>
      <c r="L158" s="155"/>
      <c r="M158" s="161"/>
      <c r="T158" s="162"/>
      <c r="AT158" s="157" t="s">
        <v>195</v>
      </c>
      <c r="AU158" s="157" t="s">
        <v>20</v>
      </c>
      <c r="AV158" s="12" t="s">
        <v>20</v>
      </c>
      <c r="AW158" s="12" t="s">
        <v>37</v>
      </c>
      <c r="AX158" s="12" t="s">
        <v>88</v>
      </c>
      <c r="AY158" s="157" t="s">
        <v>184</v>
      </c>
    </row>
    <row r="159" spans="2:65" s="1" customFormat="1" ht="16.5" customHeight="1" x14ac:dyDescent="0.3">
      <c r="B159" s="33"/>
      <c r="C159" s="172" t="s">
        <v>328</v>
      </c>
      <c r="D159" s="172" t="s">
        <v>271</v>
      </c>
      <c r="E159" s="173" t="s">
        <v>1648</v>
      </c>
      <c r="F159" s="174" t="s">
        <v>1649</v>
      </c>
      <c r="G159" s="175" t="s">
        <v>557</v>
      </c>
      <c r="H159" s="176">
        <v>1</v>
      </c>
      <c r="I159" s="177">
        <v>1003.35</v>
      </c>
      <c r="J159" s="178">
        <f>ROUND(I159*H159,2)</f>
        <v>1003.35</v>
      </c>
      <c r="K159" s="174" t="s">
        <v>190</v>
      </c>
      <c r="L159" s="179"/>
      <c r="M159" s="180" t="s">
        <v>1</v>
      </c>
      <c r="N159" s="181" t="s">
        <v>47</v>
      </c>
      <c r="O159" s="147">
        <v>0</v>
      </c>
      <c r="P159" s="147">
        <f>O159*H159</f>
        <v>0</v>
      </c>
      <c r="Q159" s="147">
        <v>2.5000000000000001E-3</v>
      </c>
      <c r="R159" s="147">
        <f>Q159*H159</f>
        <v>2.5000000000000001E-3</v>
      </c>
      <c r="S159" s="147">
        <v>0</v>
      </c>
      <c r="T159" s="148">
        <f>S159*H159</f>
        <v>0</v>
      </c>
      <c r="AR159" s="149" t="s">
        <v>239</v>
      </c>
      <c r="AT159" s="149" t="s">
        <v>271</v>
      </c>
      <c r="AU159" s="149" t="s">
        <v>20</v>
      </c>
      <c r="AY159" s="18" t="s">
        <v>184</v>
      </c>
      <c r="BE159" s="150">
        <f>IF(N159="základní",J159,0)</f>
        <v>1003.35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8" t="s">
        <v>88</v>
      </c>
      <c r="BK159" s="150">
        <f>ROUND(I159*H159,2)</f>
        <v>1003.35</v>
      </c>
      <c r="BL159" s="18" t="s">
        <v>191</v>
      </c>
      <c r="BM159" s="149" t="s">
        <v>1650</v>
      </c>
    </row>
    <row r="160" spans="2:65" s="12" customFormat="1" ht="11.25" x14ac:dyDescent="0.3">
      <c r="B160" s="155"/>
      <c r="D160" s="156" t="s">
        <v>195</v>
      </c>
      <c r="E160" s="157" t="s">
        <v>1</v>
      </c>
      <c r="F160" s="158" t="s">
        <v>1651</v>
      </c>
      <c r="H160" s="159">
        <v>1</v>
      </c>
      <c r="I160" s="160"/>
      <c r="L160" s="155"/>
      <c r="M160" s="161"/>
      <c r="T160" s="162"/>
      <c r="AT160" s="157" t="s">
        <v>195</v>
      </c>
      <c r="AU160" s="157" t="s">
        <v>20</v>
      </c>
      <c r="AV160" s="12" t="s">
        <v>20</v>
      </c>
      <c r="AW160" s="12" t="s">
        <v>37</v>
      </c>
      <c r="AX160" s="12" t="s">
        <v>88</v>
      </c>
      <c r="AY160" s="157" t="s">
        <v>184</v>
      </c>
    </row>
    <row r="161" spans="2:65" s="1" customFormat="1" ht="16.5" customHeight="1" x14ac:dyDescent="0.3">
      <c r="B161" s="33"/>
      <c r="C161" s="138" t="s">
        <v>334</v>
      </c>
      <c r="D161" s="138" t="s">
        <v>186</v>
      </c>
      <c r="E161" s="139" t="s">
        <v>567</v>
      </c>
      <c r="F161" s="140" t="s">
        <v>1652</v>
      </c>
      <c r="G161" s="141" t="s">
        <v>557</v>
      </c>
      <c r="H161" s="142">
        <v>1</v>
      </c>
      <c r="I161" s="143">
        <v>1908.97</v>
      </c>
      <c r="J161" s="144">
        <f>ROUND(I161*H161,2)</f>
        <v>1908.97</v>
      </c>
      <c r="K161" s="140" t="s">
        <v>190</v>
      </c>
      <c r="L161" s="33"/>
      <c r="M161" s="145" t="s">
        <v>1</v>
      </c>
      <c r="N161" s="146" t="s">
        <v>47</v>
      </c>
      <c r="O161" s="147">
        <v>0.54900000000000004</v>
      </c>
      <c r="P161" s="147">
        <f>O161*H161</f>
        <v>0.54900000000000004</v>
      </c>
      <c r="Q161" s="147">
        <v>0.11276</v>
      </c>
      <c r="R161" s="147">
        <f>Q161*H161</f>
        <v>0.11276</v>
      </c>
      <c r="S161" s="147">
        <v>0</v>
      </c>
      <c r="T161" s="148">
        <f>S161*H161</f>
        <v>0</v>
      </c>
      <c r="AR161" s="149" t="s">
        <v>191</v>
      </c>
      <c r="AT161" s="149" t="s">
        <v>186</v>
      </c>
      <c r="AU161" s="149" t="s">
        <v>20</v>
      </c>
      <c r="AY161" s="18" t="s">
        <v>184</v>
      </c>
      <c r="BE161" s="150">
        <f>IF(N161="základní",J161,0)</f>
        <v>1908.97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8" t="s">
        <v>88</v>
      </c>
      <c r="BK161" s="150">
        <f>ROUND(I161*H161,2)</f>
        <v>1908.97</v>
      </c>
      <c r="BL161" s="18" t="s">
        <v>191</v>
      </c>
      <c r="BM161" s="149" t="s">
        <v>1653</v>
      </c>
    </row>
    <row r="162" spans="2:65" s="1" customFormat="1" x14ac:dyDescent="0.3">
      <c r="B162" s="33"/>
      <c r="D162" s="151" t="s">
        <v>193</v>
      </c>
      <c r="F162" s="152" t="s">
        <v>570</v>
      </c>
      <c r="I162" s="153"/>
      <c r="L162" s="33"/>
      <c r="M162" s="154"/>
      <c r="T162" s="57"/>
      <c r="AT162" s="18" t="s">
        <v>193</v>
      </c>
      <c r="AU162" s="18" t="s">
        <v>20</v>
      </c>
    </row>
    <row r="163" spans="2:65" s="1" customFormat="1" ht="16.5" customHeight="1" x14ac:dyDescent="0.3">
      <c r="B163" s="33"/>
      <c r="C163" s="172" t="s">
        <v>340</v>
      </c>
      <c r="D163" s="172" t="s">
        <v>271</v>
      </c>
      <c r="E163" s="173" t="s">
        <v>572</v>
      </c>
      <c r="F163" s="174" t="s">
        <v>573</v>
      </c>
      <c r="G163" s="175" t="s">
        <v>557</v>
      </c>
      <c r="H163" s="176">
        <v>1</v>
      </c>
      <c r="I163" s="177">
        <v>1374.46</v>
      </c>
      <c r="J163" s="178">
        <f>ROUND(I163*H163,2)</f>
        <v>1374.46</v>
      </c>
      <c r="K163" s="174" t="s">
        <v>190</v>
      </c>
      <c r="L163" s="179"/>
      <c r="M163" s="180" t="s">
        <v>1</v>
      </c>
      <c r="N163" s="181" t="s">
        <v>47</v>
      </c>
      <c r="O163" s="147">
        <v>0</v>
      </c>
      <c r="P163" s="147">
        <f>O163*H163</f>
        <v>0</v>
      </c>
      <c r="Q163" s="147">
        <v>6.4999999999999997E-3</v>
      </c>
      <c r="R163" s="147">
        <f>Q163*H163</f>
        <v>6.4999999999999997E-3</v>
      </c>
      <c r="S163" s="147">
        <v>0</v>
      </c>
      <c r="T163" s="148">
        <f>S163*H163</f>
        <v>0</v>
      </c>
      <c r="AR163" s="149" t="s">
        <v>239</v>
      </c>
      <c r="AT163" s="149" t="s">
        <v>271</v>
      </c>
      <c r="AU163" s="149" t="s">
        <v>20</v>
      </c>
      <c r="AY163" s="18" t="s">
        <v>184</v>
      </c>
      <c r="BE163" s="150">
        <f>IF(N163="základní",J163,0)</f>
        <v>1374.46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8" t="s">
        <v>88</v>
      </c>
      <c r="BK163" s="150">
        <f>ROUND(I163*H163,2)</f>
        <v>1374.46</v>
      </c>
      <c r="BL163" s="18" t="s">
        <v>191</v>
      </c>
      <c r="BM163" s="149" t="s">
        <v>1654</v>
      </c>
    </row>
    <row r="164" spans="2:65" s="1" customFormat="1" ht="16.5" customHeight="1" x14ac:dyDescent="0.3">
      <c r="B164" s="33"/>
      <c r="C164" s="172" t="s">
        <v>346</v>
      </c>
      <c r="D164" s="172" t="s">
        <v>271</v>
      </c>
      <c r="E164" s="173" t="s">
        <v>575</v>
      </c>
      <c r="F164" s="174" t="s">
        <v>576</v>
      </c>
      <c r="G164" s="175" t="s">
        <v>557</v>
      </c>
      <c r="H164" s="176">
        <v>1</v>
      </c>
      <c r="I164" s="177">
        <v>1527.18</v>
      </c>
      <c r="J164" s="178">
        <f>ROUND(I164*H164,2)</f>
        <v>1527.18</v>
      </c>
      <c r="K164" s="174" t="s">
        <v>190</v>
      </c>
      <c r="L164" s="179"/>
      <c r="M164" s="180" t="s">
        <v>1</v>
      </c>
      <c r="N164" s="181" t="s">
        <v>47</v>
      </c>
      <c r="O164" s="147">
        <v>0</v>
      </c>
      <c r="P164" s="147">
        <f>O164*H164</f>
        <v>0</v>
      </c>
      <c r="Q164" s="147">
        <v>3.3E-3</v>
      </c>
      <c r="R164" s="147">
        <f>Q164*H164</f>
        <v>3.3E-3</v>
      </c>
      <c r="S164" s="147">
        <v>0</v>
      </c>
      <c r="T164" s="148">
        <f>S164*H164</f>
        <v>0</v>
      </c>
      <c r="AR164" s="149" t="s">
        <v>239</v>
      </c>
      <c r="AT164" s="149" t="s">
        <v>271</v>
      </c>
      <c r="AU164" s="149" t="s">
        <v>20</v>
      </c>
      <c r="AY164" s="18" t="s">
        <v>184</v>
      </c>
      <c r="BE164" s="150">
        <f>IF(N164="základní",J164,0)</f>
        <v>1527.18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8" t="s">
        <v>88</v>
      </c>
      <c r="BK164" s="150">
        <f>ROUND(I164*H164,2)</f>
        <v>1527.18</v>
      </c>
      <c r="BL164" s="18" t="s">
        <v>191</v>
      </c>
      <c r="BM164" s="149" t="s">
        <v>1655</v>
      </c>
    </row>
    <row r="165" spans="2:65" s="1" customFormat="1" ht="16.5" customHeight="1" x14ac:dyDescent="0.3">
      <c r="B165" s="33"/>
      <c r="C165" s="138" t="s">
        <v>353</v>
      </c>
      <c r="D165" s="138" t="s">
        <v>186</v>
      </c>
      <c r="E165" s="139" t="s">
        <v>1656</v>
      </c>
      <c r="F165" s="140" t="s">
        <v>1657</v>
      </c>
      <c r="G165" s="141" t="s">
        <v>189</v>
      </c>
      <c r="H165" s="142">
        <v>9.82</v>
      </c>
      <c r="I165" s="143">
        <v>458.15</v>
      </c>
      <c r="J165" s="144">
        <f>ROUND(I165*H165,2)</f>
        <v>4499.03</v>
      </c>
      <c r="K165" s="140" t="s">
        <v>190</v>
      </c>
      <c r="L165" s="33"/>
      <c r="M165" s="145" t="s">
        <v>1</v>
      </c>
      <c r="N165" s="146" t="s">
        <v>47</v>
      </c>
      <c r="O165" s="147">
        <v>0.108</v>
      </c>
      <c r="P165" s="147">
        <f>O165*H165</f>
        <v>1.0605599999999999</v>
      </c>
      <c r="Q165" s="147">
        <v>1.1999999999999999E-3</v>
      </c>
      <c r="R165" s="147">
        <f>Q165*H165</f>
        <v>1.1783999999999999E-2</v>
      </c>
      <c r="S165" s="147">
        <v>0</v>
      </c>
      <c r="T165" s="148">
        <f>S165*H165</f>
        <v>0</v>
      </c>
      <c r="AR165" s="149" t="s">
        <v>191</v>
      </c>
      <c r="AT165" s="149" t="s">
        <v>186</v>
      </c>
      <c r="AU165" s="149" t="s">
        <v>20</v>
      </c>
      <c r="AY165" s="18" t="s">
        <v>184</v>
      </c>
      <c r="BE165" s="150">
        <f>IF(N165="základní",J165,0)</f>
        <v>4499.03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8" t="s">
        <v>88</v>
      </c>
      <c r="BK165" s="150">
        <f>ROUND(I165*H165,2)</f>
        <v>4499.03</v>
      </c>
      <c r="BL165" s="18" t="s">
        <v>191</v>
      </c>
      <c r="BM165" s="149" t="s">
        <v>1658</v>
      </c>
    </row>
    <row r="166" spans="2:65" s="1" customFormat="1" x14ac:dyDescent="0.3">
      <c r="B166" s="33"/>
      <c r="D166" s="151" t="s">
        <v>193</v>
      </c>
      <c r="F166" s="152" t="s">
        <v>1659</v>
      </c>
      <c r="I166" s="153"/>
      <c r="L166" s="33"/>
      <c r="M166" s="154"/>
      <c r="T166" s="57"/>
      <c r="AT166" s="18" t="s">
        <v>193</v>
      </c>
      <c r="AU166" s="18" t="s">
        <v>20</v>
      </c>
    </row>
    <row r="167" spans="2:65" s="12" customFormat="1" ht="11.25" x14ac:dyDescent="0.3">
      <c r="B167" s="155"/>
      <c r="D167" s="156" t="s">
        <v>195</v>
      </c>
      <c r="E167" s="157" t="s">
        <v>1</v>
      </c>
      <c r="F167" s="158" t="s">
        <v>1660</v>
      </c>
      <c r="H167" s="159">
        <v>2.5</v>
      </c>
      <c r="I167" s="160"/>
      <c r="L167" s="155"/>
      <c r="M167" s="161"/>
      <c r="T167" s="162"/>
      <c r="AT167" s="157" t="s">
        <v>195</v>
      </c>
      <c r="AU167" s="157" t="s">
        <v>20</v>
      </c>
      <c r="AV167" s="12" t="s">
        <v>20</v>
      </c>
      <c r="AW167" s="12" t="s">
        <v>37</v>
      </c>
      <c r="AX167" s="12" t="s">
        <v>81</v>
      </c>
      <c r="AY167" s="157" t="s">
        <v>184</v>
      </c>
    </row>
    <row r="168" spans="2:65" s="12" customFormat="1" ht="11.25" x14ac:dyDescent="0.3">
      <c r="B168" s="155"/>
      <c r="D168" s="156" t="s">
        <v>195</v>
      </c>
      <c r="E168" s="157" t="s">
        <v>1</v>
      </c>
      <c r="F168" s="158" t="s">
        <v>1661</v>
      </c>
      <c r="H168" s="159">
        <v>7.32</v>
      </c>
      <c r="I168" s="160"/>
      <c r="L168" s="155"/>
      <c r="M168" s="161"/>
      <c r="T168" s="162"/>
      <c r="AT168" s="157" t="s">
        <v>195</v>
      </c>
      <c r="AU168" s="157" t="s">
        <v>20</v>
      </c>
      <c r="AV168" s="12" t="s">
        <v>20</v>
      </c>
      <c r="AW168" s="12" t="s">
        <v>37</v>
      </c>
      <c r="AX168" s="12" t="s">
        <v>81</v>
      </c>
      <c r="AY168" s="157" t="s">
        <v>184</v>
      </c>
    </row>
    <row r="169" spans="2:65" s="13" customFormat="1" ht="11.25" x14ac:dyDescent="0.3">
      <c r="B169" s="163"/>
      <c r="D169" s="156" t="s">
        <v>195</v>
      </c>
      <c r="E169" s="164" t="s">
        <v>1</v>
      </c>
      <c r="F169" s="165" t="s">
        <v>230</v>
      </c>
      <c r="H169" s="166">
        <v>9.82</v>
      </c>
      <c r="I169" s="167"/>
      <c r="L169" s="163"/>
      <c r="M169" s="168"/>
      <c r="T169" s="169"/>
      <c r="AT169" s="164" t="s">
        <v>195</v>
      </c>
      <c r="AU169" s="164" t="s">
        <v>20</v>
      </c>
      <c r="AV169" s="13" t="s">
        <v>191</v>
      </c>
      <c r="AW169" s="13" t="s">
        <v>37</v>
      </c>
      <c r="AX169" s="13" t="s">
        <v>88</v>
      </c>
      <c r="AY169" s="164" t="s">
        <v>184</v>
      </c>
    </row>
    <row r="170" spans="2:65" s="1" customFormat="1" ht="16.5" customHeight="1" x14ac:dyDescent="0.3">
      <c r="B170" s="33"/>
      <c r="C170" s="138" t="s">
        <v>360</v>
      </c>
      <c r="D170" s="138" t="s">
        <v>186</v>
      </c>
      <c r="E170" s="139" t="s">
        <v>458</v>
      </c>
      <c r="F170" s="140" t="s">
        <v>1662</v>
      </c>
      <c r="G170" s="141" t="s">
        <v>210</v>
      </c>
      <c r="H170" s="142">
        <v>29</v>
      </c>
      <c r="I170" s="143">
        <v>106.9</v>
      </c>
      <c r="J170" s="144">
        <f>ROUND(I170*H170,2)</f>
        <v>3100.1</v>
      </c>
      <c r="K170" s="140" t="s">
        <v>190</v>
      </c>
      <c r="L170" s="33"/>
      <c r="M170" s="145" t="s">
        <v>1</v>
      </c>
      <c r="N170" s="146" t="s">
        <v>47</v>
      </c>
      <c r="O170" s="147">
        <v>3.0000000000000001E-3</v>
      </c>
      <c r="P170" s="147">
        <f>O170*H170</f>
        <v>8.7000000000000008E-2</v>
      </c>
      <c r="Q170" s="147">
        <v>2.0000000000000001E-4</v>
      </c>
      <c r="R170" s="147">
        <f>Q170*H170</f>
        <v>5.8000000000000005E-3</v>
      </c>
      <c r="S170" s="147">
        <v>0</v>
      </c>
      <c r="T170" s="148">
        <f>S170*H170</f>
        <v>0</v>
      </c>
      <c r="AR170" s="149" t="s">
        <v>191</v>
      </c>
      <c r="AT170" s="149" t="s">
        <v>186</v>
      </c>
      <c r="AU170" s="149" t="s">
        <v>20</v>
      </c>
      <c r="AY170" s="18" t="s">
        <v>184</v>
      </c>
      <c r="BE170" s="150">
        <f>IF(N170="základní",J170,0)</f>
        <v>3100.1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8" t="s">
        <v>88</v>
      </c>
      <c r="BK170" s="150">
        <f>ROUND(I170*H170,2)</f>
        <v>3100.1</v>
      </c>
      <c r="BL170" s="18" t="s">
        <v>191</v>
      </c>
      <c r="BM170" s="149" t="s">
        <v>1663</v>
      </c>
    </row>
    <row r="171" spans="2:65" s="1" customFormat="1" x14ac:dyDescent="0.3">
      <c r="B171" s="33"/>
      <c r="D171" s="151" t="s">
        <v>193</v>
      </c>
      <c r="F171" s="152" t="s">
        <v>461</v>
      </c>
      <c r="I171" s="153"/>
      <c r="L171" s="33"/>
      <c r="M171" s="154"/>
      <c r="T171" s="57"/>
      <c r="AT171" s="18" t="s">
        <v>193</v>
      </c>
      <c r="AU171" s="18" t="s">
        <v>20</v>
      </c>
    </row>
    <row r="172" spans="2:65" s="12" customFormat="1" ht="11.25" x14ac:dyDescent="0.3">
      <c r="B172" s="155"/>
      <c r="D172" s="156" t="s">
        <v>195</v>
      </c>
      <c r="E172" s="157" t="s">
        <v>1</v>
      </c>
      <c r="F172" s="158" t="s">
        <v>1664</v>
      </c>
      <c r="H172" s="159">
        <v>29</v>
      </c>
      <c r="I172" s="160"/>
      <c r="L172" s="155"/>
      <c r="M172" s="161"/>
      <c r="T172" s="162"/>
      <c r="AT172" s="157" t="s">
        <v>195</v>
      </c>
      <c r="AU172" s="157" t="s">
        <v>20</v>
      </c>
      <c r="AV172" s="12" t="s">
        <v>20</v>
      </c>
      <c r="AW172" s="12" t="s">
        <v>37</v>
      </c>
      <c r="AX172" s="12" t="s">
        <v>88</v>
      </c>
      <c r="AY172" s="157" t="s">
        <v>184</v>
      </c>
    </row>
    <row r="173" spans="2:65" s="1" customFormat="1" ht="24.2" customHeight="1" x14ac:dyDescent="0.3">
      <c r="B173" s="33"/>
      <c r="C173" s="138" t="s">
        <v>368</v>
      </c>
      <c r="D173" s="138" t="s">
        <v>186</v>
      </c>
      <c r="E173" s="139" t="s">
        <v>463</v>
      </c>
      <c r="F173" s="140" t="s">
        <v>1665</v>
      </c>
      <c r="G173" s="141" t="s">
        <v>210</v>
      </c>
      <c r="H173" s="142">
        <v>29</v>
      </c>
      <c r="I173" s="143">
        <v>15.27</v>
      </c>
      <c r="J173" s="144">
        <f>ROUND(I173*H173,2)</f>
        <v>442.83</v>
      </c>
      <c r="K173" s="140" t="s">
        <v>190</v>
      </c>
      <c r="L173" s="33"/>
      <c r="M173" s="145" t="s">
        <v>1</v>
      </c>
      <c r="N173" s="146" t="s">
        <v>47</v>
      </c>
      <c r="O173" s="147">
        <v>1.6E-2</v>
      </c>
      <c r="P173" s="147">
        <f>O173*H173</f>
        <v>0.46400000000000002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49" t="s">
        <v>191</v>
      </c>
      <c r="AT173" s="149" t="s">
        <v>186</v>
      </c>
      <c r="AU173" s="149" t="s">
        <v>20</v>
      </c>
      <c r="AY173" s="18" t="s">
        <v>184</v>
      </c>
      <c r="BE173" s="150">
        <f>IF(N173="základní",J173,0)</f>
        <v>442.83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8" t="s">
        <v>88</v>
      </c>
      <c r="BK173" s="150">
        <f>ROUND(I173*H173,2)</f>
        <v>442.83</v>
      </c>
      <c r="BL173" s="18" t="s">
        <v>191</v>
      </c>
      <c r="BM173" s="149" t="s">
        <v>1666</v>
      </c>
    </row>
    <row r="174" spans="2:65" s="1" customFormat="1" x14ac:dyDescent="0.3">
      <c r="B174" s="33"/>
      <c r="D174" s="151" t="s">
        <v>193</v>
      </c>
      <c r="F174" s="152" t="s">
        <v>466</v>
      </c>
      <c r="I174" s="153"/>
      <c r="L174" s="33"/>
      <c r="M174" s="154"/>
      <c r="T174" s="57"/>
      <c r="AT174" s="18" t="s">
        <v>193</v>
      </c>
      <c r="AU174" s="18" t="s">
        <v>20</v>
      </c>
    </row>
    <row r="175" spans="2:65" s="1" customFormat="1" ht="24.2" customHeight="1" x14ac:dyDescent="0.3">
      <c r="B175" s="33"/>
      <c r="C175" s="138" t="s">
        <v>376</v>
      </c>
      <c r="D175" s="138" t="s">
        <v>186</v>
      </c>
      <c r="E175" s="139" t="s">
        <v>589</v>
      </c>
      <c r="F175" s="140" t="s">
        <v>1667</v>
      </c>
      <c r="G175" s="141" t="s">
        <v>189</v>
      </c>
      <c r="H175" s="142">
        <v>9.82</v>
      </c>
      <c r="I175" s="143">
        <v>152.72</v>
      </c>
      <c r="J175" s="144">
        <f>ROUND(I175*H175,2)</f>
        <v>1499.71</v>
      </c>
      <c r="K175" s="140" t="s">
        <v>190</v>
      </c>
      <c r="L175" s="33"/>
      <c r="M175" s="145" t="s">
        <v>1</v>
      </c>
      <c r="N175" s="146" t="s">
        <v>47</v>
      </c>
      <c r="O175" s="147">
        <v>8.3000000000000004E-2</v>
      </c>
      <c r="P175" s="147">
        <f>O175*H175</f>
        <v>0.81506000000000012</v>
      </c>
      <c r="Q175" s="147">
        <v>1.0000000000000001E-5</v>
      </c>
      <c r="R175" s="147">
        <f>Q175*H175</f>
        <v>9.8200000000000015E-5</v>
      </c>
      <c r="S175" s="147">
        <v>0</v>
      </c>
      <c r="T175" s="148">
        <f>S175*H175</f>
        <v>0</v>
      </c>
      <c r="AR175" s="149" t="s">
        <v>191</v>
      </c>
      <c r="AT175" s="149" t="s">
        <v>186</v>
      </c>
      <c r="AU175" s="149" t="s">
        <v>20</v>
      </c>
      <c r="AY175" s="18" t="s">
        <v>184</v>
      </c>
      <c r="BE175" s="150">
        <f>IF(N175="základní",J175,0)</f>
        <v>1499.71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8" t="s">
        <v>88</v>
      </c>
      <c r="BK175" s="150">
        <f>ROUND(I175*H175,2)</f>
        <v>1499.71</v>
      </c>
      <c r="BL175" s="18" t="s">
        <v>191</v>
      </c>
      <c r="BM175" s="149" t="s">
        <v>1668</v>
      </c>
    </row>
    <row r="176" spans="2:65" s="1" customFormat="1" x14ac:dyDescent="0.3">
      <c r="B176" s="33"/>
      <c r="D176" s="151" t="s">
        <v>193</v>
      </c>
      <c r="F176" s="152" t="s">
        <v>592</v>
      </c>
      <c r="I176" s="153"/>
      <c r="L176" s="33"/>
      <c r="M176" s="154"/>
      <c r="T176" s="57"/>
      <c r="AT176" s="18" t="s">
        <v>193</v>
      </c>
      <c r="AU176" s="18" t="s">
        <v>20</v>
      </c>
    </row>
    <row r="177" spans="2:65" s="1" customFormat="1" ht="24.2" customHeight="1" x14ac:dyDescent="0.3">
      <c r="B177" s="33"/>
      <c r="C177" s="138" t="s">
        <v>385</v>
      </c>
      <c r="D177" s="138" t="s">
        <v>186</v>
      </c>
      <c r="E177" s="139" t="s">
        <v>306</v>
      </c>
      <c r="F177" s="140" t="s">
        <v>1669</v>
      </c>
      <c r="G177" s="141" t="s">
        <v>210</v>
      </c>
      <c r="H177" s="142">
        <v>160.07</v>
      </c>
      <c r="I177" s="143">
        <v>690.55</v>
      </c>
      <c r="J177" s="144">
        <f>ROUND(I177*H177,2)</f>
        <v>110536.34</v>
      </c>
      <c r="K177" s="140" t="s">
        <v>190</v>
      </c>
      <c r="L177" s="33"/>
      <c r="M177" s="145" t="s">
        <v>1</v>
      </c>
      <c r="N177" s="146" t="s">
        <v>47</v>
      </c>
      <c r="O177" s="147">
        <v>0.26800000000000002</v>
      </c>
      <c r="P177" s="147">
        <f>O177*H177</f>
        <v>42.898760000000003</v>
      </c>
      <c r="Q177" s="147">
        <v>0.15540000000000001</v>
      </c>
      <c r="R177" s="147">
        <f>Q177*H177</f>
        <v>24.874877999999999</v>
      </c>
      <c r="S177" s="147">
        <v>0</v>
      </c>
      <c r="T177" s="148">
        <f>S177*H177</f>
        <v>0</v>
      </c>
      <c r="AR177" s="149" t="s">
        <v>191</v>
      </c>
      <c r="AT177" s="149" t="s">
        <v>186</v>
      </c>
      <c r="AU177" s="149" t="s">
        <v>20</v>
      </c>
      <c r="AY177" s="18" t="s">
        <v>184</v>
      </c>
      <c r="BE177" s="150">
        <f>IF(N177="základní",J177,0)</f>
        <v>110536.34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8" t="s">
        <v>88</v>
      </c>
      <c r="BK177" s="150">
        <f>ROUND(I177*H177,2)</f>
        <v>110536.34</v>
      </c>
      <c r="BL177" s="18" t="s">
        <v>191</v>
      </c>
      <c r="BM177" s="149" t="s">
        <v>1670</v>
      </c>
    </row>
    <row r="178" spans="2:65" s="1" customFormat="1" x14ac:dyDescent="0.3">
      <c r="B178" s="33"/>
      <c r="D178" s="151" t="s">
        <v>193</v>
      </c>
      <c r="F178" s="152" t="s">
        <v>309</v>
      </c>
      <c r="I178" s="153"/>
      <c r="L178" s="33"/>
      <c r="M178" s="154"/>
      <c r="T178" s="57"/>
      <c r="AT178" s="18" t="s">
        <v>193</v>
      </c>
      <c r="AU178" s="18" t="s">
        <v>20</v>
      </c>
    </row>
    <row r="179" spans="2:65" s="12" customFormat="1" ht="11.25" x14ac:dyDescent="0.3">
      <c r="B179" s="155"/>
      <c r="D179" s="156" t="s">
        <v>195</v>
      </c>
      <c r="E179" s="157" t="s">
        <v>1</v>
      </c>
      <c r="F179" s="158" t="s">
        <v>1671</v>
      </c>
      <c r="H179" s="159">
        <v>160.07</v>
      </c>
      <c r="I179" s="160"/>
      <c r="L179" s="155"/>
      <c r="M179" s="161"/>
      <c r="T179" s="162"/>
      <c r="AT179" s="157" t="s">
        <v>195</v>
      </c>
      <c r="AU179" s="157" t="s">
        <v>20</v>
      </c>
      <c r="AV179" s="12" t="s">
        <v>20</v>
      </c>
      <c r="AW179" s="12" t="s">
        <v>37</v>
      </c>
      <c r="AX179" s="12" t="s">
        <v>88</v>
      </c>
      <c r="AY179" s="157" t="s">
        <v>184</v>
      </c>
    </row>
    <row r="180" spans="2:65" s="1" customFormat="1" ht="16.5" customHeight="1" x14ac:dyDescent="0.3">
      <c r="B180" s="33"/>
      <c r="C180" s="172" t="s">
        <v>392</v>
      </c>
      <c r="D180" s="172" t="s">
        <v>271</v>
      </c>
      <c r="E180" s="173" t="s">
        <v>312</v>
      </c>
      <c r="F180" s="174" t="s">
        <v>313</v>
      </c>
      <c r="G180" s="175" t="s">
        <v>210</v>
      </c>
      <c r="H180" s="176">
        <v>74.95</v>
      </c>
      <c r="I180" s="177">
        <v>182.84</v>
      </c>
      <c r="J180" s="178">
        <f>ROUND(I180*H180,2)</f>
        <v>13703.86</v>
      </c>
      <c r="K180" s="174" t="s">
        <v>190</v>
      </c>
      <c r="L180" s="179"/>
      <c r="M180" s="180" t="s">
        <v>1</v>
      </c>
      <c r="N180" s="181" t="s">
        <v>47</v>
      </c>
      <c r="O180" s="147">
        <v>0</v>
      </c>
      <c r="P180" s="147">
        <f>O180*H180</f>
        <v>0</v>
      </c>
      <c r="Q180" s="147">
        <v>0.08</v>
      </c>
      <c r="R180" s="147">
        <f>Q180*H180</f>
        <v>5.9960000000000004</v>
      </c>
      <c r="S180" s="147">
        <v>0</v>
      </c>
      <c r="T180" s="148">
        <f>S180*H180</f>
        <v>0</v>
      </c>
      <c r="AR180" s="149" t="s">
        <v>239</v>
      </c>
      <c r="AT180" s="149" t="s">
        <v>271</v>
      </c>
      <c r="AU180" s="149" t="s">
        <v>20</v>
      </c>
      <c r="AY180" s="18" t="s">
        <v>184</v>
      </c>
      <c r="BE180" s="150">
        <f>IF(N180="základní",J180,0)</f>
        <v>13703.86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8" t="s">
        <v>88</v>
      </c>
      <c r="BK180" s="150">
        <f>ROUND(I180*H180,2)</f>
        <v>13703.86</v>
      </c>
      <c r="BL180" s="18" t="s">
        <v>191</v>
      </c>
      <c r="BM180" s="149" t="s">
        <v>1672</v>
      </c>
    </row>
    <row r="181" spans="2:65" s="12" customFormat="1" ht="11.25" x14ac:dyDescent="0.3">
      <c r="B181" s="155"/>
      <c r="D181" s="156" t="s">
        <v>195</v>
      </c>
      <c r="E181" s="157" t="s">
        <v>1</v>
      </c>
      <c r="F181" s="158" t="s">
        <v>1673</v>
      </c>
      <c r="H181" s="159">
        <v>73.48</v>
      </c>
      <c r="I181" s="160"/>
      <c r="L181" s="155"/>
      <c r="M181" s="161"/>
      <c r="T181" s="162"/>
      <c r="AT181" s="157" t="s">
        <v>195</v>
      </c>
      <c r="AU181" s="157" t="s">
        <v>20</v>
      </c>
      <c r="AV181" s="12" t="s">
        <v>20</v>
      </c>
      <c r="AW181" s="12" t="s">
        <v>37</v>
      </c>
      <c r="AX181" s="12" t="s">
        <v>81</v>
      </c>
      <c r="AY181" s="157" t="s">
        <v>184</v>
      </c>
    </row>
    <row r="182" spans="2:65" s="12" customFormat="1" ht="11.25" x14ac:dyDescent="0.3">
      <c r="B182" s="155"/>
      <c r="D182" s="156" t="s">
        <v>195</v>
      </c>
      <c r="E182" s="157" t="s">
        <v>1</v>
      </c>
      <c r="F182" s="158" t="s">
        <v>1674</v>
      </c>
      <c r="H182" s="159">
        <v>74.95</v>
      </c>
      <c r="I182" s="160"/>
      <c r="L182" s="155"/>
      <c r="M182" s="161"/>
      <c r="T182" s="162"/>
      <c r="AT182" s="157" t="s">
        <v>195</v>
      </c>
      <c r="AU182" s="157" t="s">
        <v>20</v>
      </c>
      <c r="AV182" s="12" t="s">
        <v>20</v>
      </c>
      <c r="AW182" s="12" t="s">
        <v>37</v>
      </c>
      <c r="AX182" s="12" t="s">
        <v>88</v>
      </c>
      <c r="AY182" s="157" t="s">
        <v>184</v>
      </c>
    </row>
    <row r="183" spans="2:65" s="1" customFormat="1" ht="16.5" customHeight="1" x14ac:dyDescent="0.3">
      <c r="B183" s="33"/>
      <c r="C183" s="172" t="s">
        <v>621</v>
      </c>
      <c r="D183" s="172" t="s">
        <v>271</v>
      </c>
      <c r="E183" s="173" t="s">
        <v>317</v>
      </c>
      <c r="F183" s="174" t="s">
        <v>318</v>
      </c>
      <c r="G183" s="175" t="s">
        <v>210</v>
      </c>
      <c r="H183" s="176">
        <v>10.292</v>
      </c>
      <c r="I183" s="177">
        <v>228.36</v>
      </c>
      <c r="J183" s="178">
        <f>ROUND(I183*H183,2)</f>
        <v>2350.2800000000002</v>
      </c>
      <c r="K183" s="174" t="s">
        <v>190</v>
      </c>
      <c r="L183" s="179"/>
      <c r="M183" s="180" t="s">
        <v>1</v>
      </c>
      <c r="N183" s="181" t="s">
        <v>47</v>
      </c>
      <c r="O183" s="147">
        <v>0</v>
      </c>
      <c r="P183" s="147">
        <f>O183*H183</f>
        <v>0</v>
      </c>
      <c r="Q183" s="147">
        <v>0.04</v>
      </c>
      <c r="R183" s="147">
        <f>Q183*H183</f>
        <v>0.41167999999999999</v>
      </c>
      <c r="S183" s="147">
        <v>0</v>
      </c>
      <c r="T183" s="148">
        <f>S183*H183</f>
        <v>0</v>
      </c>
      <c r="AR183" s="149" t="s">
        <v>239</v>
      </c>
      <c r="AT183" s="149" t="s">
        <v>271</v>
      </c>
      <c r="AU183" s="149" t="s">
        <v>20</v>
      </c>
      <c r="AY183" s="18" t="s">
        <v>184</v>
      </c>
      <c r="BE183" s="150">
        <f>IF(N183="základní",J183,0)</f>
        <v>2350.2800000000002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8" t="s">
        <v>88</v>
      </c>
      <c r="BK183" s="150">
        <f>ROUND(I183*H183,2)</f>
        <v>2350.2800000000002</v>
      </c>
      <c r="BL183" s="18" t="s">
        <v>191</v>
      </c>
      <c r="BM183" s="149" t="s">
        <v>1675</v>
      </c>
    </row>
    <row r="184" spans="2:65" s="12" customFormat="1" ht="11.25" x14ac:dyDescent="0.3">
      <c r="B184" s="155"/>
      <c r="D184" s="156" t="s">
        <v>195</v>
      </c>
      <c r="E184" s="157" t="s">
        <v>1</v>
      </c>
      <c r="F184" s="158" t="s">
        <v>1676</v>
      </c>
      <c r="H184" s="159">
        <v>1.58</v>
      </c>
      <c r="I184" s="160"/>
      <c r="L184" s="155"/>
      <c r="M184" s="161"/>
      <c r="T184" s="162"/>
      <c r="AT184" s="157" t="s">
        <v>195</v>
      </c>
      <c r="AU184" s="157" t="s">
        <v>20</v>
      </c>
      <c r="AV184" s="12" t="s">
        <v>20</v>
      </c>
      <c r="AW184" s="12" t="s">
        <v>37</v>
      </c>
      <c r="AX184" s="12" t="s">
        <v>81</v>
      </c>
      <c r="AY184" s="157" t="s">
        <v>184</v>
      </c>
    </row>
    <row r="185" spans="2:65" s="12" customFormat="1" ht="11.25" x14ac:dyDescent="0.3">
      <c r="B185" s="155"/>
      <c r="D185" s="156" t="s">
        <v>195</v>
      </c>
      <c r="E185" s="157" t="s">
        <v>1</v>
      </c>
      <c r="F185" s="158" t="s">
        <v>1677</v>
      </c>
      <c r="H185" s="159">
        <v>8.51</v>
      </c>
      <c r="I185" s="160"/>
      <c r="L185" s="155"/>
      <c r="M185" s="161"/>
      <c r="T185" s="162"/>
      <c r="AT185" s="157" t="s">
        <v>195</v>
      </c>
      <c r="AU185" s="157" t="s">
        <v>20</v>
      </c>
      <c r="AV185" s="12" t="s">
        <v>20</v>
      </c>
      <c r="AW185" s="12" t="s">
        <v>37</v>
      </c>
      <c r="AX185" s="12" t="s">
        <v>81</v>
      </c>
      <c r="AY185" s="157" t="s">
        <v>184</v>
      </c>
    </row>
    <row r="186" spans="2:65" s="13" customFormat="1" ht="11.25" x14ac:dyDescent="0.3">
      <c r="B186" s="163"/>
      <c r="D186" s="156" t="s">
        <v>195</v>
      </c>
      <c r="E186" s="164" t="s">
        <v>1</v>
      </c>
      <c r="F186" s="165" t="s">
        <v>230</v>
      </c>
      <c r="H186" s="166">
        <v>10.09</v>
      </c>
      <c r="I186" s="167"/>
      <c r="L186" s="163"/>
      <c r="M186" s="168"/>
      <c r="T186" s="169"/>
      <c r="AT186" s="164" t="s">
        <v>195</v>
      </c>
      <c r="AU186" s="164" t="s">
        <v>20</v>
      </c>
      <c r="AV186" s="13" t="s">
        <v>191</v>
      </c>
      <c r="AW186" s="13" t="s">
        <v>37</v>
      </c>
      <c r="AX186" s="13" t="s">
        <v>81</v>
      </c>
      <c r="AY186" s="164" t="s">
        <v>184</v>
      </c>
    </row>
    <row r="187" spans="2:65" s="12" customFormat="1" ht="11.25" x14ac:dyDescent="0.3">
      <c r="B187" s="155"/>
      <c r="D187" s="156" t="s">
        <v>195</v>
      </c>
      <c r="E187" s="157" t="s">
        <v>1</v>
      </c>
      <c r="F187" s="158" t="s">
        <v>1678</v>
      </c>
      <c r="H187" s="159">
        <v>10.292</v>
      </c>
      <c r="I187" s="160"/>
      <c r="L187" s="155"/>
      <c r="M187" s="161"/>
      <c r="T187" s="162"/>
      <c r="AT187" s="157" t="s">
        <v>195</v>
      </c>
      <c r="AU187" s="157" t="s">
        <v>20</v>
      </c>
      <c r="AV187" s="12" t="s">
        <v>20</v>
      </c>
      <c r="AW187" s="12" t="s">
        <v>37</v>
      </c>
      <c r="AX187" s="12" t="s">
        <v>88</v>
      </c>
      <c r="AY187" s="157" t="s">
        <v>184</v>
      </c>
    </row>
    <row r="188" spans="2:65" s="1" customFormat="1" ht="16.5" customHeight="1" x14ac:dyDescent="0.3">
      <c r="B188" s="33"/>
      <c r="C188" s="172" t="s">
        <v>630</v>
      </c>
      <c r="D188" s="172" t="s">
        <v>271</v>
      </c>
      <c r="E188" s="173" t="s">
        <v>323</v>
      </c>
      <c r="F188" s="174" t="s">
        <v>324</v>
      </c>
      <c r="G188" s="175" t="s">
        <v>210</v>
      </c>
      <c r="H188" s="176">
        <v>76.938999999999993</v>
      </c>
      <c r="I188" s="177">
        <v>143.6</v>
      </c>
      <c r="J188" s="178">
        <f>ROUND(I188*H188,2)</f>
        <v>11048.44</v>
      </c>
      <c r="K188" s="174" t="s">
        <v>190</v>
      </c>
      <c r="L188" s="179"/>
      <c r="M188" s="180" t="s">
        <v>1</v>
      </c>
      <c r="N188" s="181" t="s">
        <v>47</v>
      </c>
      <c r="O188" s="147">
        <v>0</v>
      </c>
      <c r="P188" s="147">
        <f>O188*H188</f>
        <v>0</v>
      </c>
      <c r="Q188" s="147">
        <v>4.8300000000000003E-2</v>
      </c>
      <c r="R188" s="147">
        <f>Q188*H188</f>
        <v>3.7161537</v>
      </c>
      <c r="S188" s="147">
        <v>0</v>
      </c>
      <c r="T188" s="148">
        <f>S188*H188</f>
        <v>0</v>
      </c>
      <c r="AR188" s="149" t="s">
        <v>239</v>
      </c>
      <c r="AT188" s="149" t="s">
        <v>271</v>
      </c>
      <c r="AU188" s="149" t="s">
        <v>20</v>
      </c>
      <c r="AY188" s="18" t="s">
        <v>184</v>
      </c>
      <c r="BE188" s="150">
        <f>IF(N188="základní",J188,0)</f>
        <v>11048.44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8" t="s">
        <v>88</v>
      </c>
      <c r="BK188" s="150">
        <f>ROUND(I188*H188,2)</f>
        <v>11048.44</v>
      </c>
      <c r="BL188" s="18" t="s">
        <v>191</v>
      </c>
      <c r="BM188" s="149" t="s">
        <v>1679</v>
      </c>
    </row>
    <row r="189" spans="2:65" s="12" customFormat="1" ht="11.25" x14ac:dyDescent="0.3">
      <c r="B189" s="155"/>
      <c r="D189" s="156" t="s">
        <v>195</v>
      </c>
      <c r="E189" s="157" t="s">
        <v>1</v>
      </c>
      <c r="F189" s="158" t="s">
        <v>1680</v>
      </c>
      <c r="H189" s="159">
        <v>75.430000000000007</v>
      </c>
      <c r="I189" s="160"/>
      <c r="L189" s="155"/>
      <c r="M189" s="161"/>
      <c r="T189" s="162"/>
      <c r="AT189" s="157" t="s">
        <v>195</v>
      </c>
      <c r="AU189" s="157" t="s">
        <v>20</v>
      </c>
      <c r="AV189" s="12" t="s">
        <v>20</v>
      </c>
      <c r="AW189" s="12" t="s">
        <v>37</v>
      </c>
      <c r="AX189" s="12" t="s">
        <v>81</v>
      </c>
      <c r="AY189" s="157" t="s">
        <v>184</v>
      </c>
    </row>
    <row r="190" spans="2:65" s="12" customFormat="1" ht="11.25" x14ac:dyDescent="0.3">
      <c r="B190" s="155"/>
      <c r="D190" s="156" t="s">
        <v>195</v>
      </c>
      <c r="E190" s="157" t="s">
        <v>1</v>
      </c>
      <c r="F190" s="158" t="s">
        <v>1681</v>
      </c>
      <c r="H190" s="159">
        <v>76.938999999999993</v>
      </c>
      <c r="I190" s="160"/>
      <c r="L190" s="155"/>
      <c r="M190" s="161"/>
      <c r="T190" s="162"/>
      <c r="AT190" s="157" t="s">
        <v>195</v>
      </c>
      <c r="AU190" s="157" t="s">
        <v>20</v>
      </c>
      <c r="AV190" s="12" t="s">
        <v>20</v>
      </c>
      <c r="AW190" s="12" t="s">
        <v>37</v>
      </c>
      <c r="AX190" s="12" t="s">
        <v>88</v>
      </c>
      <c r="AY190" s="157" t="s">
        <v>184</v>
      </c>
    </row>
    <row r="191" spans="2:65" s="1" customFormat="1" ht="16.5" customHeight="1" x14ac:dyDescent="0.3">
      <c r="B191" s="33"/>
      <c r="C191" s="172" t="s">
        <v>635</v>
      </c>
      <c r="D191" s="172" t="s">
        <v>271</v>
      </c>
      <c r="E191" s="173" t="s">
        <v>609</v>
      </c>
      <c r="F191" s="174" t="s">
        <v>610</v>
      </c>
      <c r="G191" s="175" t="s">
        <v>210</v>
      </c>
      <c r="H191" s="176">
        <v>1.091</v>
      </c>
      <c r="I191" s="177">
        <v>280.17</v>
      </c>
      <c r="J191" s="178">
        <f>ROUND(I191*H191,2)</f>
        <v>305.67</v>
      </c>
      <c r="K191" s="174" t="s">
        <v>190</v>
      </c>
      <c r="L191" s="179"/>
      <c r="M191" s="180" t="s">
        <v>1</v>
      </c>
      <c r="N191" s="181" t="s">
        <v>47</v>
      </c>
      <c r="O191" s="147">
        <v>0</v>
      </c>
      <c r="P191" s="147">
        <f>O191*H191</f>
        <v>0</v>
      </c>
      <c r="Q191" s="147">
        <v>4.8399999999999999E-2</v>
      </c>
      <c r="R191" s="147">
        <f>Q191*H191</f>
        <v>5.2804399999999994E-2</v>
      </c>
      <c r="S191" s="147">
        <v>0</v>
      </c>
      <c r="T191" s="148">
        <f>S191*H191</f>
        <v>0</v>
      </c>
      <c r="AR191" s="149" t="s">
        <v>239</v>
      </c>
      <c r="AT191" s="149" t="s">
        <v>271</v>
      </c>
      <c r="AU191" s="149" t="s">
        <v>20</v>
      </c>
      <c r="AY191" s="18" t="s">
        <v>184</v>
      </c>
      <c r="BE191" s="150">
        <f>IF(N191="základní",J191,0)</f>
        <v>305.67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8" t="s">
        <v>88</v>
      </c>
      <c r="BK191" s="150">
        <f>ROUND(I191*H191,2)</f>
        <v>305.67</v>
      </c>
      <c r="BL191" s="18" t="s">
        <v>191</v>
      </c>
      <c r="BM191" s="149" t="s">
        <v>1682</v>
      </c>
    </row>
    <row r="192" spans="2:65" s="12" customFormat="1" ht="11.25" x14ac:dyDescent="0.3">
      <c r="B192" s="155"/>
      <c r="D192" s="156" t="s">
        <v>195</v>
      </c>
      <c r="E192" s="157" t="s">
        <v>1</v>
      </c>
      <c r="F192" s="158" t="s">
        <v>1683</v>
      </c>
      <c r="H192" s="159">
        <v>1.07</v>
      </c>
      <c r="I192" s="160"/>
      <c r="L192" s="155"/>
      <c r="M192" s="161"/>
      <c r="T192" s="162"/>
      <c r="AT192" s="157" t="s">
        <v>195</v>
      </c>
      <c r="AU192" s="157" t="s">
        <v>20</v>
      </c>
      <c r="AV192" s="12" t="s">
        <v>20</v>
      </c>
      <c r="AW192" s="12" t="s">
        <v>37</v>
      </c>
      <c r="AX192" s="12" t="s">
        <v>81</v>
      </c>
      <c r="AY192" s="157" t="s">
        <v>184</v>
      </c>
    </row>
    <row r="193" spans="2:65" s="12" customFormat="1" ht="11.25" x14ac:dyDescent="0.3">
      <c r="B193" s="155"/>
      <c r="D193" s="156" t="s">
        <v>195</v>
      </c>
      <c r="E193" s="157" t="s">
        <v>1</v>
      </c>
      <c r="F193" s="158" t="s">
        <v>1684</v>
      </c>
      <c r="H193" s="159">
        <v>1.091</v>
      </c>
      <c r="I193" s="160"/>
      <c r="L193" s="155"/>
      <c r="M193" s="161"/>
      <c r="T193" s="162"/>
      <c r="AT193" s="157" t="s">
        <v>195</v>
      </c>
      <c r="AU193" s="157" t="s">
        <v>20</v>
      </c>
      <c r="AV193" s="12" t="s">
        <v>20</v>
      </c>
      <c r="AW193" s="12" t="s">
        <v>37</v>
      </c>
      <c r="AX193" s="12" t="s">
        <v>88</v>
      </c>
      <c r="AY193" s="157" t="s">
        <v>184</v>
      </c>
    </row>
    <row r="194" spans="2:65" s="1" customFormat="1" ht="21.75" customHeight="1" x14ac:dyDescent="0.3">
      <c r="B194" s="33"/>
      <c r="C194" s="138" t="s">
        <v>642</v>
      </c>
      <c r="D194" s="138" t="s">
        <v>186</v>
      </c>
      <c r="E194" s="139" t="s">
        <v>478</v>
      </c>
      <c r="F194" s="140" t="s">
        <v>1685</v>
      </c>
      <c r="G194" s="141" t="s">
        <v>189</v>
      </c>
      <c r="H194" s="142">
        <v>155.97999999999999</v>
      </c>
      <c r="I194" s="143">
        <v>30.54</v>
      </c>
      <c r="J194" s="144">
        <f>ROUND(I194*H194,2)</f>
        <v>4763.63</v>
      </c>
      <c r="K194" s="140" t="s">
        <v>190</v>
      </c>
      <c r="L194" s="33"/>
      <c r="M194" s="145" t="s">
        <v>1</v>
      </c>
      <c r="N194" s="146" t="s">
        <v>47</v>
      </c>
      <c r="O194" s="147">
        <v>1.2999999999999999E-2</v>
      </c>
      <c r="P194" s="147">
        <f>O194*H194</f>
        <v>2.0277399999999997</v>
      </c>
      <c r="Q194" s="147">
        <v>0</v>
      </c>
      <c r="R194" s="147">
        <f>Q194*H194</f>
        <v>0</v>
      </c>
      <c r="S194" s="147">
        <v>0.01</v>
      </c>
      <c r="T194" s="148">
        <f>S194*H194</f>
        <v>1.5597999999999999</v>
      </c>
      <c r="AR194" s="149" t="s">
        <v>191</v>
      </c>
      <c r="AT194" s="149" t="s">
        <v>186</v>
      </c>
      <c r="AU194" s="149" t="s">
        <v>20</v>
      </c>
      <c r="AY194" s="18" t="s">
        <v>184</v>
      </c>
      <c r="BE194" s="150">
        <f>IF(N194="základní",J194,0)</f>
        <v>4763.63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8" t="s">
        <v>88</v>
      </c>
      <c r="BK194" s="150">
        <f>ROUND(I194*H194,2)</f>
        <v>4763.63</v>
      </c>
      <c r="BL194" s="18" t="s">
        <v>191</v>
      </c>
      <c r="BM194" s="149" t="s">
        <v>1686</v>
      </c>
    </row>
    <row r="195" spans="2:65" s="1" customFormat="1" x14ac:dyDescent="0.3">
      <c r="B195" s="33"/>
      <c r="D195" s="151" t="s">
        <v>193</v>
      </c>
      <c r="F195" s="152" t="s">
        <v>481</v>
      </c>
      <c r="I195" s="153"/>
      <c r="L195" s="33"/>
      <c r="M195" s="154"/>
      <c r="T195" s="57"/>
      <c r="AT195" s="18" t="s">
        <v>193</v>
      </c>
      <c r="AU195" s="18" t="s">
        <v>20</v>
      </c>
    </row>
    <row r="196" spans="2:65" s="1" customFormat="1" ht="33" customHeight="1" x14ac:dyDescent="0.3">
      <c r="B196" s="33"/>
      <c r="C196" s="138" t="s">
        <v>647</v>
      </c>
      <c r="D196" s="138" t="s">
        <v>186</v>
      </c>
      <c r="E196" s="139" t="s">
        <v>482</v>
      </c>
      <c r="F196" s="140" t="s">
        <v>1687</v>
      </c>
      <c r="G196" s="141" t="s">
        <v>189</v>
      </c>
      <c r="H196" s="142">
        <v>155.97999999999999</v>
      </c>
      <c r="I196" s="143">
        <v>6.11</v>
      </c>
      <c r="J196" s="144">
        <f>ROUND(I196*H196,2)</f>
        <v>953.04</v>
      </c>
      <c r="K196" s="140" t="s">
        <v>190</v>
      </c>
      <c r="L196" s="33"/>
      <c r="M196" s="145" t="s">
        <v>1</v>
      </c>
      <c r="N196" s="146" t="s">
        <v>47</v>
      </c>
      <c r="O196" s="147">
        <v>2E-3</v>
      </c>
      <c r="P196" s="147">
        <f>O196*H196</f>
        <v>0.31195999999999996</v>
      </c>
      <c r="Q196" s="147">
        <v>0</v>
      </c>
      <c r="R196" s="147">
        <f>Q196*H196</f>
        <v>0</v>
      </c>
      <c r="S196" s="147">
        <v>0.02</v>
      </c>
      <c r="T196" s="148">
        <f>S196*H196</f>
        <v>3.1195999999999997</v>
      </c>
      <c r="AR196" s="149" t="s">
        <v>191</v>
      </c>
      <c r="AT196" s="149" t="s">
        <v>186</v>
      </c>
      <c r="AU196" s="149" t="s">
        <v>20</v>
      </c>
      <c r="AY196" s="18" t="s">
        <v>184</v>
      </c>
      <c r="BE196" s="150">
        <f>IF(N196="základní",J196,0)</f>
        <v>953.04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8" t="s">
        <v>88</v>
      </c>
      <c r="BK196" s="150">
        <f>ROUND(I196*H196,2)</f>
        <v>953.04</v>
      </c>
      <c r="BL196" s="18" t="s">
        <v>191</v>
      </c>
      <c r="BM196" s="149" t="s">
        <v>1688</v>
      </c>
    </row>
    <row r="197" spans="2:65" s="1" customFormat="1" x14ac:dyDescent="0.3">
      <c r="B197" s="33"/>
      <c r="D197" s="151" t="s">
        <v>193</v>
      </c>
      <c r="F197" s="152" t="s">
        <v>485</v>
      </c>
      <c r="I197" s="153"/>
      <c r="L197" s="33"/>
      <c r="M197" s="154"/>
      <c r="T197" s="57"/>
      <c r="AT197" s="18" t="s">
        <v>193</v>
      </c>
      <c r="AU197" s="18" t="s">
        <v>20</v>
      </c>
    </row>
    <row r="198" spans="2:65" s="11" customFormat="1" ht="22.9" customHeight="1" x14ac:dyDescent="0.2">
      <c r="B198" s="127"/>
      <c r="D198" s="128" t="s">
        <v>80</v>
      </c>
      <c r="E198" s="136" t="s">
        <v>358</v>
      </c>
      <c r="F198" s="136" t="s">
        <v>359</v>
      </c>
      <c r="I198" s="171"/>
      <c r="J198" s="137">
        <f>BK198</f>
        <v>6919.98</v>
      </c>
      <c r="L198" s="127"/>
      <c r="M198" s="131"/>
      <c r="P198" s="132">
        <f>SUM(P199:P201)</f>
        <v>32.397999999999996</v>
      </c>
      <c r="R198" s="132">
        <f>SUM(R199:R201)</f>
        <v>0</v>
      </c>
      <c r="T198" s="133">
        <f>SUM(T199:T201)</f>
        <v>0</v>
      </c>
      <c r="AR198" s="128" t="s">
        <v>88</v>
      </c>
      <c r="AT198" s="134" t="s">
        <v>80</v>
      </c>
      <c r="AU198" s="134" t="s">
        <v>88</v>
      </c>
      <c r="AY198" s="128" t="s">
        <v>184</v>
      </c>
      <c r="BK198" s="135">
        <f>SUM(BK199:BK201)</f>
        <v>6919.98</v>
      </c>
    </row>
    <row r="199" spans="2:65" s="1" customFormat="1" ht="24.2" customHeight="1" x14ac:dyDescent="0.3">
      <c r="B199" s="33"/>
      <c r="C199" s="138" t="s">
        <v>650</v>
      </c>
      <c r="D199" s="138" t="s">
        <v>186</v>
      </c>
      <c r="E199" s="139" t="s">
        <v>361</v>
      </c>
      <c r="F199" s="140" t="s">
        <v>1572</v>
      </c>
      <c r="G199" s="141" t="s">
        <v>248</v>
      </c>
      <c r="H199" s="142">
        <v>38.799999999999997</v>
      </c>
      <c r="I199" s="143">
        <v>178.35</v>
      </c>
      <c r="J199" s="144">
        <f>ROUND(I199*H199,2)</f>
        <v>6919.98</v>
      </c>
      <c r="K199" s="140" t="s">
        <v>190</v>
      </c>
      <c r="L199" s="33"/>
      <c r="M199" s="145" t="s">
        <v>1</v>
      </c>
      <c r="N199" s="146" t="s">
        <v>47</v>
      </c>
      <c r="O199" s="147">
        <v>0.83499999999999996</v>
      </c>
      <c r="P199" s="147">
        <f>O199*H199</f>
        <v>32.397999999999996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AR199" s="149" t="s">
        <v>191</v>
      </c>
      <c r="AT199" s="149" t="s">
        <v>186</v>
      </c>
      <c r="AU199" s="149" t="s">
        <v>20</v>
      </c>
      <c r="AY199" s="18" t="s">
        <v>184</v>
      </c>
      <c r="BE199" s="150">
        <f>IF(N199="základní",J199,0)</f>
        <v>6919.98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8" t="s">
        <v>88</v>
      </c>
      <c r="BK199" s="150">
        <f>ROUND(I199*H199,2)</f>
        <v>6919.98</v>
      </c>
      <c r="BL199" s="18" t="s">
        <v>191</v>
      </c>
      <c r="BM199" s="149" t="s">
        <v>1689</v>
      </c>
    </row>
    <row r="200" spans="2:65" s="1" customFormat="1" x14ac:dyDescent="0.3">
      <c r="B200" s="33"/>
      <c r="D200" s="151" t="s">
        <v>193</v>
      </c>
      <c r="F200" s="152" t="s">
        <v>364</v>
      </c>
      <c r="I200" s="153"/>
      <c r="L200" s="33"/>
      <c r="M200" s="154"/>
      <c r="T200" s="57"/>
      <c r="AT200" s="18" t="s">
        <v>193</v>
      </c>
      <c r="AU200" s="18" t="s">
        <v>20</v>
      </c>
    </row>
    <row r="201" spans="2:65" s="12" customFormat="1" ht="11.25" x14ac:dyDescent="0.3">
      <c r="B201" s="155"/>
      <c r="D201" s="156" t="s">
        <v>195</v>
      </c>
      <c r="E201" s="157" t="s">
        <v>1</v>
      </c>
      <c r="F201" s="158" t="s">
        <v>1690</v>
      </c>
      <c r="H201" s="159">
        <v>38.799999999999997</v>
      </c>
      <c r="I201" s="160"/>
      <c r="L201" s="155"/>
      <c r="M201" s="161"/>
      <c r="T201" s="162"/>
      <c r="AT201" s="157" t="s">
        <v>195</v>
      </c>
      <c r="AU201" s="157" t="s">
        <v>20</v>
      </c>
      <c r="AV201" s="12" t="s">
        <v>20</v>
      </c>
      <c r="AW201" s="12" t="s">
        <v>37</v>
      </c>
      <c r="AX201" s="12" t="s">
        <v>88</v>
      </c>
      <c r="AY201" s="157" t="s">
        <v>184</v>
      </c>
    </row>
    <row r="202" spans="2:65" s="11" customFormat="1" ht="22.9" customHeight="1" x14ac:dyDescent="0.2">
      <c r="B202" s="127"/>
      <c r="D202" s="128" t="s">
        <v>80</v>
      </c>
      <c r="E202" s="136" t="s">
        <v>374</v>
      </c>
      <c r="F202" s="136" t="s">
        <v>375</v>
      </c>
      <c r="I202" s="171"/>
      <c r="J202" s="137">
        <f>BK202</f>
        <v>25243.7</v>
      </c>
      <c r="L202" s="127"/>
      <c r="M202" s="131"/>
      <c r="P202" s="132">
        <f>SUM(P203:P204)</f>
        <v>32.810859000000001</v>
      </c>
      <c r="R202" s="132">
        <f>SUM(R203:R204)</f>
        <v>0</v>
      </c>
      <c r="T202" s="133">
        <f>SUM(T203:T204)</f>
        <v>0</v>
      </c>
      <c r="AR202" s="128" t="s">
        <v>88</v>
      </c>
      <c r="AT202" s="134" t="s">
        <v>80</v>
      </c>
      <c r="AU202" s="134" t="s">
        <v>88</v>
      </c>
      <c r="AY202" s="128" t="s">
        <v>184</v>
      </c>
      <c r="BK202" s="135">
        <f>SUM(BK203:BK204)</f>
        <v>25243.7</v>
      </c>
    </row>
    <row r="203" spans="2:65" s="1" customFormat="1" ht="24.2" customHeight="1" x14ac:dyDescent="0.3">
      <c r="B203" s="33"/>
      <c r="C203" s="138" t="s">
        <v>916</v>
      </c>
      <c r="D203" s="138" t="s">
        <v>186</v>
      </c>
      <c r="E203" s="139" t="s">
        <v>377</v>
      </c>
      <c r="F203" s="140" t="s">
        <v>1511</v>
      </c>
      <c r="G203" s="141" t="s">
        <v>248</v>
      </c>
      <c r="H203" s="142">
        <v>82.647000000000006</v>
      </c>
      <c r="I203" s="143">
        <v>305.44</v>
      </c>
      <c r="J203" s="144">
        <f>ROUND(I203*H203,2)</f>
        <v>25243.7</v>
      </c>
      <c r="K203" s="140" t="s">
        <v>190</v>
      </c>
      <c r="L203" s="33"/>
      <c r="M203" s="145" t="s">
        <v>1</v>
      </c>
      <c r="N203" s="146" t="s">
        <v>47</v>
      </c>
      <c r="O203" s="147">
        <v>0.39700000000000002</v>
      </c>
      <c r="P203" s="147">
        <f>O203*H203</f>
        <v>32.810859000000001</v>
      </c>
      <c r="Q203" s="147">
        <v>0</v>
      </c>
      <c r="R203" s="147">
        <f>Q203*H203</f>
        <v>0</v>
      </c>
      <c r="S203" s="147">
        <v>0</v>
      </c>
      <c r="T203" s="148">
        <f>S203*H203</f>
        <v>0</v>
      </c>
      <c r="AR203" s="149" t="s">
        <v>191</v>
      </c>
      <c r="AT203" s="149" t="s">
        <v>186</v>
      </c>
      <c r="AU203" s="149" t="s">
        <v>20</v>
      </c>
      <c r="AY203" s="18" t="s">
        <v>184</v>
      </c>
      <c r="BE203" s="150">
        <f>IF(N203="základní",J203,0)</f>
        <v>25243.7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8" t="s">
        <v>88</v>
      </c>
      <c r="BK203" s="150">
        <f>ROUND(I203*H203,2)</f>
        <v>25243.7</v>
      </c>
      <c r="BL203" s="18" t="s">
        <v>191</v>
      </c>
      <c r="BM203" s="149" t="s">
        <v>1691</v>
      </c>
    </row>
    <row r="204" spans="2:65" s="1" customFormat="1" x14ac:dyDescent="0.3">
      <c r="B204" s="33"/>
      <c r="D204" s="151" t="s">
        <v>193</v>
      </c>
      <c r="F204" s="152" t="s">
        <v>380</v>
      </c>
      <c r="I204" s="153"/>
      <c r="L204" s="33"/>
      <c r="M204" s="189"/>
      <c r="N204" s="190"/>
      <c r="O204" s="190"/>
      <c r="P204" s="190"/>
      <c r="Q204" s="190"/>
      <c r="R204" s="190"/>
      <c r="S204" s="190"/>
      <c r="T204" s="191"/>
      <c r="AT204" s="18" t="s">
        <v>193</v>
      </c>
      <c r="AU204" s="18" t="s">
        <v>20</v>
      </c>
    </row>
    <row r="205" spans="2:65" s="1" customFormat="1" ht="6.95" customHeight="1" x14ac:dyDescent="0.3">
      <c r="B205" s="45"/>
      <c r="C205" s="46"/>
      <c r="D205" s="46"/>
      <c r="E205" s="46"/>
      <c r="F205" s="46"/>
      <c r="G205" s="46"/>
      <c r="H205" s="46"/>
      <c r="I205" s="188"/>
      <c r="J205" s="46"/>
      <c r="K205" s="46"/>
      <c r="L205" s="33"/>
    </row>
  </sheetData>
  <sheetProtection sheet="1" objects="1" scenarios="1"/>
  <autoFilter ref="C121:K200" xr:uid="{D43FA365-8255-434F-BD3E-7FC9CECEDF33}"/>
  <mergeCells count="8">
    <mergeCell ref="E48:H48"/>
    <mergeCell ref="E50:H50"/>
    <mergeCell ref="E75:H75"/>
    <mergeCell ref="E77:H77"/>
    <mergeCell ref="L2:V2"/>
    <mergeCell ref="E7:H7"/>
    <mergeCell ref="E9:H9"/>
    <mergeCell ref="E27:H27"/>
  </mergeCells>
  <hyperlinks>
    <hyperlink ref="F89" r:id="rId1" xr:uid="{111936A8-D9BF-4492-85BC-BE5DB911A1A9}"/>
    <hyperlink ref="F92" r:id="rId2" xr:uid="{A0A66D50-9F24-4A79-8D21-7D6174CE9C6A}"/>
    <hyperlink ref="F95" r:id="rId3" xr:uid="{1514938A-47A9-46E6-BA96-1D2A1A4C3C92}"/>
    <hyperlink ref="F100" r:id="rId4" xr:uid="{9775D492-A12C-4BD4-BDF8-1CD5D1F65D59}"/>
    <hyperlink ref="F106" r:id="rId5" xr:uid="{E2700E75-8F22-4DB8-A2E2-684B9F1B4CA1}"/>
    <hyperlink ref="F109" r:id="rId6" xr:uid="{70EB6449-2DB6-4541-ABFF-CF74EE136C54}"/>
    <hyperlink ref="F112" r:id="rId7" xr:uid="{F4F5D496-58AA-48F5-845B-C780B8B21010}"/>
    <hyperlink ref="F115" r:id="rId8" xr:uid="{E1DDA447-0696-41A1-A3F9-D2EAF06CA26A}"/>
    <hyperlink ref="F119" r:id="rId9" xr:uid="{3EBE4745-9A01-45BE-B676-73AF0B0C40A1}"/>
    <hyperlink ref="F122" r:id="rId10" xr:uid="{7E40287F-AB06-4497-8A3D-9FBFC2619D1F}"/>
    <hyperlink ref="F124" r:id="rId11" xr:uid="{E7A030F4-633B-4EEE-ABD9-E413F73306B5}"/>
    <hyperlink ref="F129" r:id="rId12" xr:uid="{70805DBC-82B1-406A-9BCD-2ACDE31C3D70}"/>
    <hyperlink ref="F135" r:id="rId13" xr:uid="{D9F902E1-A0E2-4952-8BEC-57747079763E}"/>
    <hyperlink ref="F138" r:id="rId14" xr:uid="{9446A657-A436-493F-A432-EE6A3DBB717F}"/>
    <hyperlink ref="F141" r:id="rId15" xr:uid="{3732AFA2-A0CE-4BD7-8C04-945B8FA4AB52}"/>
    <hyperlink ref="F148" r:id="rId16" xr:uid="{A8783216-824D-4A4D-A47A-4320C40A000D}"/>
    <hyperlink ref="F155" r:id="rId17" xr:uid="{DD48C1E0-8844-4707-8F7F-1A982D4B68BA}"/>
    <hyperlink ref="F162" r:id="rId18" xr:uid="{82929D42-1D3B-409A-84A5-B2D96DE1D44F}"/>
    <hyperlink ref="F166" r:id="rId19" xr:uid="{C9324966-ADB6-4692-B71F-46AF1272A364}"/>
    <hyperlink ref="F171" r:id="rId20" xr:uid="{75DEB79A-F55D-4094-AE58-237D323E02C6}"/>
    <hyperlink ref="F174" r:id="rId21" xr:uid="{79094FC8-6920-4498-888C-8DD179DEB251}"/>
    <hyperlink ref="F176" r:id="rId22" xr:uid="{2ED97869-7312-4A64-B5B9-743C373934A2}"/>
    <hyperlink ref="F178" r:id="rId23" xr:uid="{F91556F3-E8F4-45BA-99D0-9D5DFF4FF2B0}"/>
    <hyperlink ref="F195" r:id="rId24" xr:uid="{2F3B28E9-B3BA-45E8-B123-2FD533474B12}"/>
    <hyperlink ref="F197" r:id="rId25" xr:uid="{27672CE4-5964-4FA6-BC7F-8379D781ECD4}"/>
    <hyperlink ref="F200" r:id="rId26" xr:uid="{B61962B4-8081-4C69-8470-9D3384338177}"/>
    <hyperlink ref="F204" r:id="rId27" xr:uid="{9E951561-6C16-4E21-A990-98BEFD8C88BF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28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77D34-74F6-48D1-952E-35A01DF52BAB}">
  <sheetPr>
    <tabColor indexed="22"/>
    <pageSetUpPr fitToPage="1"/>
  </sheetPr>
  <dimension ref="B2:BM189"/>
  <sheetViews>
    <sheetView showGridLines="0" zoomScaleNormal="100" workbookViewId="0">
      <selection activeCell="J113" sqref="J113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126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1692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ROUND(J85, 2)</f>
        <v>2591088.61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ROUND((SUM(BE85:BE188)),  2)</f>
        <v>2591088.61</v>
      </c>
      <c r="I33" s="99">
        <v>0.21</v>
      </c>
      <c r="J33" s="98">
        <f>ROUND(((SUM(BE85:BE188))*I33),  2)</f>
        <v>544128.61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ROUND((SUM(BF85:BF188)),  2)</f>
        <v>0</v>
      </c>
      <c r="I34" s="99">
        <v>0.15</v>
      </c>
      <c r="J34" s="98">
        <f>ROUND(((SUM(BF85:BF188))*I34),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ROUND((SUM(BG85:BG188)),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ROUND((SUM(BH85:BH188)),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ROUND((SUM(BI85:BI188)),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3135217.2199999997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104.II - Místní komunikace MO2 10/5,5/30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J85</f>
        <v>2591088.6099999994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J86</f>
        <v>2591088.6099999994</v>
      </c>
      <c r="L60" s="111"/>
    </row>
    <row r="61" spans="2:47" s="9" customFormat="1" ht="19.899999999999999" customHeight="1" x14ac:dyDescent="0.3">
      <c r="B61" s="115"/>
      <c r="D61" s="116" t="s">
        <v>161</v>
      </c>
      <c r="E61" s="117"/>
      <c r="F61" s="117"/>
      <c r="G61" s="117"/>
      <c r="H61" s="117"/>
      <c r="I61" s="117"/>
      <c r="J61" s="118">
        <f>J87</f>
        <v>72076.66</v>
      </c>
      <c r="L61" s="115"/>
    </row>
    <row r="62" spans="2:47" s="9" customFormat="1" ht="19.899999999999999" customHeight="1" x14ac:dyDescent="0.3">
      <c r="B62" s="115"/>
      <c r="D62" s="116" t="s">
        <v>162</v>
      </c>
      <c r="E62" s="117"/>
      <c r="F62" s="117"/>
      <c r="G62" s="117"/>
      <c r="H62" s="117"/>
      <c r="I62" s="117"/>
      <c r="J62" s="118">
        <f>J100</f>
        <v>1934531.8599999999</v>
      </c>
      <c r="L62" s="115"/>
    </row>
    <row r="63" spans="2:47" s="9" customFormat="1" ht="19.899999999999999" customHeight="1" x14ac:dyDescent="0.3">
      <c r="B63" s="115"/>
      <c r="D63" s="116" t="s">
        <v>163</v>
      </c>
      <c r="E63" s="117"/>
      <c r="F63" s="117"/>
      <c r="G63" s="117"/>
      <c r="H63" s="117"/>
      <c r="I63" s="117"/>
      <c r="J63" s="118">
        <f>J124</f>
        <v>420887.20999999996</v>
      </c>
      <c r="L63" s="115"/>
    </row>
    <row r="64" spans="2:47" s="9" customFormat="1" ht="19.899999999999999" customHeight="1" x14ac:dyDescent="0.3">
      <c r="B64" s="115"/>
      <c r="D64" s="116" t="s">
        <v>164</v>
      </c>
      <c r="E64" s="117"/>
      <c r="F64" s="117"/>
      <c r="G64" s="117"/>
      <c r="H64" s="117"/>
      <c r="I64" s="117"/>
      <c r="J64" s="118">
        <f>J176</f>
        <v>103912.95999999999</v>
      </c>
      <c r="L64" s="115"/>
    </row>
    <row r="65" spans="2:12" s="9" customFormat="1" ht="19.899999999999999" customHeight="1" x14ac:dyDescent="0.3">
      <c r="B65" s="115"/>
      <c r="D65" s="116" t="s">
        <v>165</v>
      </c>
      <c r="E65" s="117"/>
      <c r="F65" s="117"/>
      <c r="G65" s="117"/>
      <c r="H65" s="117"/>
      <c r="I65" s="117"/>
      <c r="J65" s="118">
        <f>J186</f>
        <v>59679.92</v>
      </c>
      <c r="L65" s="115"/>
    </row>
    <row r="66" spans="2:12" s="1" customFormat="1" ht="21.75" customHeight="1" x14ac:dyDescent="0.3">
      <c r="B66" s="33"/>
      <c r="L66" s="33"/>
    </row>
    <row r="67" spans="2:12" s="1" customFormat="1" ht="6.95" customHeight="1" x14ac:dyDescent="0.3"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33"/>
    </row>
    <row r="71" spans="2:12" s="1" customFormat="1" ht="6.95" customHeight="1" x14ac:dyDescent="0.3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3"/>
    </row>
    <row r="72" spans="2:12" s="1" customFormat="1" ht="24.95" customHeight="1" x14ac:dyDescent="0.3">
      <c r="B72" s="33"/>
      <c r="C72" s="22" t="s">
        <v>168</v>
      </c>
      <c r="L72" s="33"/>
    </row>
    <row r="73" spans="2:12" s="1" customFormat="1" ht="6.95" customHeight="1" x14ac:dyDescent="0.3">
      <c r="B73" s="33"/>
      <c r="L73" s="33"/>
    </row>
    <row r="74" spans="2:12" s="1" customFormat="1" ht="12" customHeight="1" x14ac:dyDescent="0.3">
      <c r="B74" s="33"/>
      <c r="C74" s="28" t="s">
        <v>15</v>
      </c>
      <c r="L74" s="33"/>
    </row>
    <row r="75" spans="2:12" s="1" customFormat="1" ht="16.5" customHeight="1" x14ac:dyDescent="0.3">
      <c r="B75" s="33"/>
      <c r="E75" s="324" t="str">
        <f>E7</f>
        <v>Obnova ulice Tyršova, Dobrovice - II. etapa</v>
      </c>
      <c r="F75" s="325"/>
      <c r="G75" s="325"/>
      <c r="H75" s="325"/>
      <c r="L75" s="33"/>
    </row>
    <row r="76" spans="2:12" s="1" customFormat="1" ht="12" customHeight="1" x14ac:dyDescent="0.3">
      <c r="B76" s="33"/>
      <c r="C76" s="28" t="s">
        <v>152</v>
      </c>
      <c r="L76" s="33"/>
    </row>
    <row r="77" spans="2:12" s="1" customFormat="1" ht="16.5" customHeight="1" x14ac:dyDescent="0.3">
      <c r="B77" s="33"/>
      <c r="E77" s="308" t="str">
        <f>E9</f>
        <v>SO 104.II - Místní komunikace MO2 10/5,5/30 II. etapa</v>
      </c>
      <c r="F77" s="326"/>
      <c r="G77" s="326"/>
      <c r="H77" s="326"/>
      <c r="L77" s="33"/>
    </row>
    <row r="78" spans="2:12" s="1" customFormat="1" ht="6.95" customHeight="1" x14ac:dyDescent="0.3">
      <c r="B78" s="33"/>
      <c r="L78" s="33"/>
    </row>
    <row r="79" spans="2:12" s="1" customFormat="1" ht="12" customHeight="1" x14ac:dyDescent="0.3">
      <c r="B79" s="33"/>
      <c r="C79" s="28" t="s">
        <v>21</v>
      </c>
      <c r="F79" s="26" t="str">
        <f>F12</f>
        <v>Dobrovice</v>
      </c>
      <c r="I79" s="28" t="s">
        <v>23</v>
      </c>
      <c r="J79" s="53">
        <f>IF(J12="","",J12)</f>
        <v>45678</v>
      </c>
      <c r="L79" s="33"/>
    </row>
    <row r="80" spans="2:12" s="1" customFormat="1" ht="6.95" customHeight="1" x14ac:dyDescent="0.3">
      <c r="B80" s="33"/>
      <c r="L80" s="33"/>
    </row>
    <row r="81" spans="2:65" s="1" customFormat="1" ht="25.7" customHeight="1" x14ac:dyDescent="0.3">
      <c r="B81" s="33"/>
      <c r="C81" s="28" t="s">
        <v>28</v>
      </c>
      <c r="F81" s="26" t="str">
        <f>E15</f>
        <v>Město Dobrovice, Palckého nám. 28, 294 41</v>
      </c>
      <c r="I81" s="28" t="s">
        <v>34</v>
      </c>
      <c r="J81" s="96" t="str">
        <f>E21</f>
        <v>Ing. arch. Martin Jirovský Ph.D., MBA</v>
      </c>
      <c r="L81" s="33"/>
    </row>
    <row r="82" spans="2:65" s="1" customFormat="1" ht="40.15" customHeight="1" x14ac:dyDescent="0.3">
      <c r="B82" s="33"/>
      <c r="C82" s="28" t="s">
        <v>33</v>
      </c>
      <c r="F82" s="26">
        <f>IF(E18="","",E18)</f>
        <v>0</v>
      </c>
      <c r="I82" s="28" t="s">
        <v>38</v>
      </c>
      <c r="J82" s="96" t="str">
        <f>E24</f>
        <v>ROAD M.A.A.T. s.r.o., Petra Stejskalová</v>
      </c>
      <c r="L82" s="33"/>
    </row>
    <row r="83" spans="2:65" s="1" customFormat="1" ht="10.35" customHeight="1" x14ac:dyDescent="0.3">
      <c r="B83" s="33"/>
      <c r="L83" s="33"/>
    </row>
    <row r="84" spans="2:65" s="10" customFormat="1" ht="29.25" customHeight="1" x14ac:dyDescent="0.3">
      <c r="B84" s="119"/>
      <c r="C84" s="120" t="s">
        <v>169</v>
      </c>
      <c r="D84" s="121" t="s">
        <v>66</v>
      </c>
      <c r="E84" s="121" t="s">
        <v>63</v>
      </c>
      <c r="F84" s="121" t="s">
        <v>170</v>
      </c>
      <c r="G84" s="121" t="s">
        <v>171</v>
      </c>
      <c r="H84" s="121" t="s">
        <v>172</v>
      </c>
      <c r="I84" s="121" t="s">
        <v>173</v>
      </c>
      <c r="J84" s="121" t="s">
        <v>157</v>
      </c>
      <c r="K84" s="122" t="s">
        <v>174</v>
      </c>
      <c r="L84" s="119"/>
      <c r="M84" s="60" t="s">
        <v>1</v>
      </c>
      <c r="N84" s="61" t="s">
        <v>46</v>
      </c>
      <c r="O84" s="61" t="s">
        <v>175</v>
      </c>
      <c r="P84" s="61" t="s">
        <v>176</v>
      </c>
      <c r="Q84" s="61" t="s">
        <v>177</v>
      </c>
      <c r="R84" s="61" t="s">
        <v>178</v>
      </c>
      <c r="S84" s="61" t="s">
        <v>179</v>
      </c>
      <c r="T84" s="62" t="s">
        <v>180</v>
      </c>
    </row>
    <row r="85" spans="2:65" s="1" customFormat="1" ht="22.9" customHeight="1" x14ac:dyDescent="0.25">
      <c r="B85" s="33"/>
      <c r="C85" s="65" t="s">
        <v>181</v>
      </c>
      <c r="J85" s="123">
        <f>BK85</f>
        <v>2591088.6099999994</v>
      </c>
      <c r="L85" s="33"/>
      <c r="M85" s="63"/>
      <c r="N85" s="54"/>
      <c r="O85" s="54"/>
      <c r="P85" s="124">
        <f>P86</f>
        <v>906.80881699999998</v>
      </c>
      <c r="Q85" s="54"/>
      <c r="R85" s="124">
        <f>R86</f>
        <v>275.46759410000004</v>
      </c>
      <c r="S85" s="54"/>
      <c r="T85" s="125">
        <f>T86</f>
        <v>40.083999999999996</v>
      </c>
      <c r="AT85" s="18" t="s">
        <v>80</v>
      </c>
      <c r="AU85" s="18" t="s">
        <v>159</v>
      </c>
      <c r="BK85" s="126">
        <f>BK86</f>
        <v>2591088.6099999994</v>
      </c>
    </row>
    <row r="86" spans="2:65" s="11" customFormat="1" ht="25.9" customHeight="1" x14ac:dyDescent="0.2">
      <c r="B86" s="127"/>
      <c r="D86" s="128" t="s">
        <v>80</v>
      </c>
      <c r="E86" s="129" t="s">
        <v>182</v>
      </c>
      <c r="F86" s="129" t="s">
        <v>183</v>
      </c>
      <c r="J86" s="130">
        <f>BK86</f>
        <v>2591088.6099999994</v>
      </c>
      <c r="L86" s="127"/>
      <c r="M86" s="131"/>
      <c r="P86" s="132">
        <f>P87+P100+P124+P176+P186</f>
        <v>906.80881699999998</v>
      </c>
      <c r="R86" s="132">
        <f>R87+R100+R124+R176+R186</f>
        <v>275.46759410000004</v>
      </c>
      <c r="T86" s="133">
        <f>T87+T100+T124+T176+T186</f>
        <v>40.083999999999996</v>
      </c>
      <c r="AR86" s="128" t="s">
        <v>88</v>
      </c>
      <c r="AT86" s="134" t="s">
        <v>80</v>
      </c>
      <c r="AU86" s="134" t="s">
        <v>81</v>
      </c>
      <c r="AY86" s="128" t="s">
        <v>184</v>
      </c>
      <c r="BK86" s="135">
        <f>BK87+BK100+BK124+BK176+BK186</f>
        <v>2591088.6099999994</v>
      </c>
    </row>
    <row r="87" spans="2:65" s="11" customFormat="1" ht="22.9" customHeight="1" x14ac:dyDescent="0.2">
      <c r="B87" s="127"/>
      <c r="D87" s="128" t="s">
        <v>80</v>
      </c>
      <c r="E87" s="136" t="s">
        <v>88</v>
      </c>
      <c r="F87" s="136" t="s">
        <v>185</v>
      </c>
      <c r="J87" s="137">
        <f>BK87</f>
        <v>72076.66</v>
      </c>
      <c r="L87" s="127"/>
      <c r="M87" s="131"/>
      <c r="P87" s="132">
        <f>SUM(P88:P99)</f>
        <v>85.968401</v>
      </c>
      <c r="R87" s="132">
        <f>SUM(R88:R99)</f>
        <v>0</v>
      </c>
      <c r="T87" s="133">
        <f>SUM(T88:T99)</f>
        <v>0</v>
      </c>
      <c r="AR87" s="128" t="s">
        <v>88</v>
      </c>
      <c r="AT87" s="134" t="s">
        <v>80</v>
      </c>
      <c r="AU87" s="134" t="s">
        <v>88</v>
      </c>
      <c r="AY87" s="128" t="s">
        <v>184</v>
      </c>
      <c r="BK87" s="135">
        <f>SUM(BK88:BK99)</f>
        <v>72076.66</v>
      </c>
    </row>
    <row r="88" spans="2:65" s="1" customFormat="1" ht="16.5" customHeight="1" x14ac:dyDescent="0.3">
      <c r="B88" s="33"/>
      <c r="C88" s="138" t="s">
        <v>88</v>
      </c>
      <c r="D88" s="138" t="s">
        <v>186</v>
      </c>
      <c r="E88" s="139" t="s">
        <v>1591</v>
      </c>
      <c r="F88" s="140" t="s">
        <v>1592</v>
      </c>
      <c r="G88" s="141" t="s">
        <v>189</v>
      </c>
      <c r="H88" s="142">
        <v>64.150000000000006</v>
      </c>
      <c r="I88" s="143">
        <v>76.36</v>
      </c>
      <c r="J88" s="144">
        <f>ROUND(I88*H88,2)</f>
        <v>4898.49</v>
      </c>
      <c r="K88" s="140" t="s">
        <v>190</v>
      </c>
      <c r="L88" s="33"/>
      <c r="M88" s="145" t="s">
        <v>1</v>
      </c>
      <c r="N88" s="146" t="s">
        <v>47</v>
      </c>
      <c r="O88" s="147">
        <v>7.5999999999999998E-2</v>
      </c>
      <c r="P88" s="147">
        <f>O88*H88</f>
        <v>4.8754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AR88" s="149" t="s">
        <v>191</v>
      </c>
      <c r="AT88" s="149" t="s">
        <v>186</v>
      </c>
      <c r="AU88" s="149" t="s">
        <v>20</v>
      </c>
      <c r="AY88" s="18" t="s">
        <v>184</v>
      </c>
      <c r="BE88" s="150">
        <f>IF(N88="základní",J88,0)</f>
        <v>4898.49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8" t="s">
        <v>88</v>
      </c>
      <c r="BK88" s="150">
        <f>ROUND(I88*H88,2)</f>
        <v>4898.49</v>
      </c>
      <c r="BL88" s="18" t="s">
        <v>191</v>
      </c>
      <c r="BM88" s="149" t="s">
        <v>1693</v>
      </c>
    </row>
    <row r="89" spans="2:65" s="1" customFormat="1" x14ac:dyDescent="0.3">
      <c r="B89" s="33"/>
      <c r="D89" s="151" t="s">
        <v>193</v>
      </c>
      <c r="F89" s="152" t="s">
        <v>1594</v>
      </c>
      <c r="I89" s="153"/>
      <c r="L89" s="33"/>
      <c r="M89" s="154"/>
      <c r="T89" s="57"/>
      <c r="AT89" s="18" t="s">
        <v>193</v>
      </c>
      <c r="AU89" s="18" t="s">
        <v>20</v>
      </c>
    </row>
    <row r="90" spans="2:65" s="12" customFormat="1" ht="11.25" x14ac:dyDescent="0.3">
      <c r="B90" s="155"/>
      <c r="D90" s="156" t="s">
        <v>195</v>
      </c>
      <c r="E90" s="157" t="s">
        <v>1</v>
      </c>
      <c r="F90" s="158" t="s">
        <v>1694</v>
      </c>
      <c r="H90" s="159">
        <v>64.150000000000006</v>
      </c>
      <c r="I90" s="160"/>
      <c r="L90" s="155"/>
      <c r="M90" s="161"/>
      <c r="T90" s="162"/>
      <c r="AT90" s="157" t="s">
        <v>195</v>
      </c>
      <c r="AU90" s="157" t="s">
        <v>20</v>
      </c>
      <c r="AV90" s="12" t="s">
        <v>20</v>
      </c>
      <c r="AW90" s="12" t="s">
        <v>37</v>
      </c>
      <c r="AX90" s="12" t="s">
        <v>88</v>
      </c>
      <c r="AY90" s="157" t="s">
        <v>184</v>
      </c>
    </row>
    <row r="91" spans="2:65" s="1" customFormat="1" ht="24.2" customHeight="1" x14ac:dyDescent="0.3">
      <c r="B91" s="33"/>
      <c r="C91" s="138" t="s">
        <v>20</v>
      </c>
      <c r="D91" s="138" t="s">
        <v>186</v>
      </c>
      <c r="E91" s="139" t="s">
        <v>510</v>
      </c>
      <c r="F91" s="140" t="s">
        <v>1695</v>
      </c>
      <c r="G91" s="141" t="s">
        <v>217</v>
      </c>
      <c r="H91" s="142">
        <v>28.413</v>
      </c>
      <c r="I91" s="143">
        <v>610.87</v>
      </c>
      <c r="J91" s="144">
        <f>ROUND(I91*H91,2)</f>
        <v>17356.650000000001</v>
      </c>
      <c r="K91" s="140" t="s">
        <v>190</v>
      </c>
      <c r="L91" s="33"/>
      <c r="M91" s="145" t="s">
        <v>1</v>
      </c>
      <c r="N91" s="146" t="s">
        <v>47</v>
      </c>
      <c r="O91" s="147">
        <v>1.5329999999999999</v>
      </c>
      <c r="P91" s="147">
        <f>O91*H91</f>
        <v>43.557128999999996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AR91" s="149" t="s">
        <v>191</v>
      </c>
      <c r="AT91" s="149" t="s">
        <v>186</v>
      </c>
      <c r="AU91" s="149" t="s">
        <v>20</v>
      </c>
      <c r="AY91" s="18" t="s">
        <v>184</v>
      </c>
      <c r="BE91" s="150">
        <f>IF(N91="základní",J91,0)</f>
        <v>17356.650000000001</v>
      </c>
      <c r="BF91" s="150">
        <f>IF(N91="snížená",J91,0)</f>
        <v>0</v>
      </c>
      <c r="BG91" s="150">
        <f>IF(N91="zákl. přenesená",J91,0)</f>
        <v>0</v>
      </c>
      <c r="BH91" s="150">
        <f>IF(N91="sníž. přenesená",J91,0)</f>
        <v>0</v>
      </c>
      <c r="BI91" s="150">
        <f>IF(N91="nulová",J91,0)</f>
        <v>0</v>
      </c>
      <c r="BJ91" s="18" t="s">
        <v>88</v>
      </c>
      <c r="BK91" s="150">
        <f>ROUND(I91*H91,2)</f>
        <v>17356.650000000001</v>
      </c>
      <c r="BL91" s="18" t="s">
        <v>191</v>
      </c>
      <c r="BM91" s="149" t="s">
        <v>1696</v>
      </c>
    </row>
    <row r="92" spans="2:65" s="1" customFormat="1" x14ac:dyDescent="0.3">
      <c r="B92" s="33"/>
      <c r="D92" s="151" t="s">
        <v>193</v>
      </c>
      <c r="F92" s="152" t="s">
        <v>513</v>
      </c>
      <c r="I92" s="153"/>
      <c r="L92" s="33"/>
      <c r="M92" s="154"/>
      <c r="T92" s="57"/>
      <c r="AT92" s="18" t="s">
        <v>193</v>
      </c>
      <c r="AU92" s="18" t="s">
        <v>20</v>
      </c>
    </row>
    <row r="93" spans="2:65" s="12" customFormat="1" ht="11.25" x14ac:dyDescent="0.3">
      <c r="B93" s="155"/>
      <c r="D93" s="156" t="s">
        <v>195</v>
      </c>
      <c r="E93" s="157" t="s">
        <v>1</v>
      </c>
      <c r="F93" s="158" t="s">
        <v>1697</v>
      </c>
      <c r="H93" s="159">
        <v>28.413</v>
      </c>
      <c r="I93" s="160"/>
      <c r="L93" s="155"/>
      <c r="M93" s="161"/>
      <c r="T93" s="162"/>
      <c r="AT93" s="157" t="s">
        <v>195</v>
      </c>
      <c r="AU93" s="157" t="s">
        <v>20</v>
      </c>
      <c r="AV93" s="12" t="s">
        <v>20</v>
      </c>
      <c r="AW93" s="12" t="s">
        <v>37</v>
      </c>
      <c r="AX93" s="12" t="s">
        <v>88</v>
      </c>
      <c r="AY93" s="157" t="s">
        <v>184</v>
      </c>
    </row>
    <row r="94" spans="2:65" s="1" customFormat="1" ht="37.9" customHeight="1" x14ac:dyDescent="0.3">
      <c r="B94" s="33"/>
      <c r="C94" s="138" t="s">
        <v>202</v>
      </c>
      <c r="D94" s="138" t="s">
        <v>186</v>
      </c>
      <c r="E94" s="139" t="s">
        <v>1459</v>
      </c>
      <c r="F94" s="140" t="s">
        <v>1460</v>
      </c>
      <c r="G94" s="141" t="s">
        <v>217</v>
      </c>
      <c r="H94" s="142">
        <v>9.6229999999999993</v>
      </c>
      <c r="I94" s="143">
        <v>99.87</v>
      </c>
      <c r="J94" s="144">
        <f>ROUND(I94*H94,2)</f>
        <v>961.05</v>
      </c>
      <c r="K94" s="140" t="s">
        <v>190</v>
      </c>
      <c r="L94" s="33"/>
      <c r="M94" s="145" t="s">
        <v>1</v>
      </c>
      <c r="N94" s="146" t="s">
        <v>47</v>
      </c>
      <c r="O94" s="147">
        <v>4.3999999999999997E-2</v>
      </c>
      <c r="P94" s="147">
        <f>O94*H94</f>
        <v>0.42341199999999996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49" t="s">
        <v>191</v>
      </c>
      <c r="AT94" s="149" t="s">
        <v>186</v>
      </c>
      <c r="AU94" s="149" t="s">
        <v>20</v>
      </c>
      <c r="AY94" s="18" t="s">
        <v>184</v>
      </c>
      <c r="BE94" s="150">
        <f>IF(N94="základní",J94,0)</f>
        <v>961.05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8" t="s">
        <v>88</v>
      </c>
      <c r="BK94" s="150">
        <f>ROUND(I94*H94,2)</f>
        <v>961.05</v>
      </c>
      <c r="BL94" s="18" t="s">
        <v>191</v>
      </c>
      <c r="BM94" s="149" t="s">
        <v>1698</v>
      </c>
    </row>
    <row r="95" spans="2:65" s="1" customFormat="1" x14ac:dyDescent="0.3">
      <c r="B95" s="33"/>
      <c r="D95" s="151" t="s">
        <v>193</v>
      </c>
      <c r="F95" s="152" t="s">
        <v>1462</v>
      </c>
      <c r="I95" s="153"/>
      <c r="L95" s="33"/>
      <c r="M95" s="154"/>
      <c r="T95" s="57"/>
      <c r="AT95" s="18" t="s">
        <v>193</v>
      </c>
      <c r="AU95" s="18" t="s">
        <v>20</v>
      </c>
    </row>
    <row r="96" spans="2:65" s="12" customFormat="1" ht="11.25" x14ac:dyDescent="0.3">
      <c r="B96" s="155"/>
      <c r="D96" s="156" t="s">
        <v>195</v>
      </c>
      <c r="E96" s="157" t="s">
        <v>1</v>
      </c>
      <c r="F96" s="158" t="s">
        <v>1699</v>
      </c>
      <c r="H96" s="159">
        <v>9.6229999999999993</v>
      </c>
      <c r="I96" s="160"/>
      <c r="L96" s="155"/>
      <c r="M96" s="161"/>
      <c r="T96" s="162"/>
      <c r="AT96" s="157" t="s">
        <v>195</v>
      </c>
      <c r="AU96" s="157" t="s">
        <v>20</v>
      </c>
      <c r="AV96" s="12" t="s">
        <v>20</v>
      </c>
      <c r="AW96" s="12" t="s">
        <v>37</v>
      </c>
      <c r="AX96" s="12" t="s">
        <v>88</v>
      </c>
      <c r="AY96" s="157" t="s">
        <v>184</v>
      </c>
    </row>
    <row r="97" spans="2:65" s="1" customFormat="1" ht="16.5" customHeight="1" x14ac:dyDescent="0.3">
      <c r="B97" s="33"/>
      <c r="C97" s="138" t="s">
        <v>191</v>
      </c>
      <c r="D97" s="138" t="s">
        <v>186</v>
      </c>
      <c r="E97" s="139" t="s">
        <v>258</v>
      </c>
      <c r="F97" s="140" t="s">
        <v>1475</v>
      </c>
      <c r="G97" s="141" t="s">
        <v>189</v>
      </c>
      <c r="H97" s="142">
        <v>1279.74</v>
      </c>
      <c r="I97" s="143">
        <v>38.18</v>
      </c>
      <c r="J97" s="144">
        <f>ROUND(I97*H97,2)</f>
        <v>48860.47</v>
      </c>
      <c r="K97" s="140" t="s">
        <v>190</v>
      </c>
      <c r="L97" s="33"/>
      <c r="M97" s="145" t="s">
        <v>1</v>
      </c>
      <c r="N97" s="146" t="s">
        <v>47</v>
      </c>
      <c r="O97" s="147">
        <v>2.9000000000000001E-2</v>
      </c>
      <c r="P97" s="147">
        <f>O97*H97</f>
        <v>37.112459999999999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49" t="s">
        <v>191</v>
      </c>
      <c r="AT97" s="149" t="s">
        <v>186</v>
      </c>
      <c r="AU97" s="149" t="s">
        <v>20</v>
      </c>
      <c r="AY97" s="18" t="s">
        <v>184</v>
      </c>
      <c r="BE97" s="150">
        <f>IF(N97="základní",J97,0)</f>
        <v>48860.47</v>
      </c>
      <c r="BF97" s="150">
        <f>IF(N97="snížená",J97,0)</f>
        <v>0</v>
      </c>
      <c r="BG97" s="150">
        <f>IF(N97="zákl. přenesená",J97,0)</f>
        <v>0</v>
      </c>
      <c r="BH97" s="150">
        <f>IF(N97="sníž. přenesená",J97,0)</f>
        <v>0</v>
      </c>
      <c r="BI97" s="150">
        <f>IF(N97="nulová",J97,0)</f>
        <v>0</v>
      </c>
      <c r="BJ97" s="18" t="s">
        <v>88</v>
      </c>
      <c r="BK97" s="150">
        <f>ROUND(I97*H97,2)</f>
        <v>48860.47</v>
      </c>
      <c r="BL97" s="18" t="s">
        <v>191</v>
      </c>
      <c r="BM97" s="149" t="s">
        <v>1700</v>
      </c>
    </row>
    <row r="98" spans="2:65" s="1" customFormat="1" x14ac:dyDescent="0.3">
      <c r="B98" s="33"/>
      <c r="D98" s="151" t="s">
        <v>193</v>
      </c>
      <c r="F98" s="152" t="s">
        <v>1477</v>
      </c>
      <c r="I98" s="153"/>
      <c r="L98" s="33"/>
      <c r="M98" s="154"/>
      <c r="T98" s="57"/>
      <c r="AT98" s="18" t="s">
        <v>193</v>
      </c>
      <c r="AU98" s="18" t="s">
        <v>20</v>
      </c>
    </row>
    <row r="99" spans="2:65" s="12" customFormat="1" ht="11.25" x14ac:dyDescent="0.3">
      <c r="B99" s="155"/>
      <c r="D99" s="156" t="s">
        <v>195</v>
      </c>
      <c r="E99" s="157" t="s">
        <v>1</v>
      </c>
      <c r="F99" s="158" t="s">
        <v>1701</v>
      </c>
      <c r="H99" s="159">
        <v>1279.74</v>
      </c>
      <c r="I99" s="160"/>
      <c r="L99" s="155"/>
      <c r="M99" s="161"/>
      <c r="T99" s="162"/>
      <c r="AT99" s="157" t="s">
        <v>195</v>
      </c>
      <c r="AU99" s="157" t="s">
        <v>20</v>
      </c>
      <c r="AV99" s="12" t="s">
        <v>20</v>
      </c>
      <c r="AW99" s="12" t="s">
        <v>37</v>
      </c>
      <c r="AX99" s="12" t="s">
        <v>88</v>
      </c>
      <c r="AY99" s="157" t="s">
        <v>184</v>
      </c>
    </row>
    <row r="100" spans="2:65" s="11" customFormat="1" ht="22.9" customHeight="1" x14ac:dyDescent="0.2">
      <c r="B100" s="127"/>
      <c r="D100" s="128" t="s">
        <v>80</v>
      </c>
      <c r="E100" s="136" t="s">
        <v>214</v>
      </c>
      <c r="F100" s="136" t="s">
        <v>263</v>
      </c>
      <c r="I100" s="171"/>
      <c r="J100" s="137">
        <f>BK100</f>
        <v>1934531.8599999999</v>
      </c>
      <c r="L100" s="127"/>
      <c r="M100" s="131"/>
      <c r="P100" s="132">
        <f>SUM(P101:P123)</f>
        <v>229.30614000000003</v>
      </c>
      <c r="R100" s="132">
        <f>SUM(R101:R123)</f>
        <v>190.93770800000001</v>
      </c>
      <c r="T100" s="133">
        <f>SUM(T101:T123)</f>
        <v>0</v>
      </c>
      <c r="AR100" s="128" t="s">
        <v>88</v>
      </c>
      <c r="AT100" s="134" t="s">
        <v>80</v>
      </c>
      <c r="AU100" s="134" t="s">
        <v>88</v>
      </c>
      <c r="AY100" s="128" t="s">
        <v>184</v>
      </c>
      <c r="BK100" s="135">
        <f>SUM(BK101:BK123)</f>
        <v>1934531.8599999999</v>
      </c>
    </row>
    <row r="101" spans="2:65" s="1" customFormat="1" ht="24.2" customHeight="1" x14ac:dyDescent="0.3">
      <c r="B101" s="33"/>
      <c r="C101" s="138" t="s">
        <v>214</v>
      </c>
      <c r="D101" s="138" t="s">
        <v>186</v>
      </c>
      <c r="E101" s="139" t="s">
        <v>517</v>
      </c>
      <c r="F101" s="140" t="s">
        <v>1702</v>
      </c>
      <c r="G101" s="141" t="s">
        <v>189</v>
      </c>
      <c r="H101" s="142">
        <v>1279.74</v>
      </c>
      <c r="I101" s="143">
        <v>125.56</v>
      </c>
      <c r="J101" s="144">
        <f>ROUND(I101*H101,2)</f>
        <v>160684.15</v>
      </c>
      <c r="K101" s="140" t="s">
        <v>190</v>
      </c>
      <c r="L101" s="33"/>
      <c r="M101" s="145" t="s">
        <v>1</v>
      </c>
      <c r="N101" s="146" t="s">
        <v>47</v>
      </c>
      <c r="O101" s="147">
        <v>2.4E-2</v>
      </c>
      <c r="P101" s="147">
        <f>O101*H101</f>
        <v>30.713760000000001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AR101" s="149" t="s">
        <v>191</v>
      </c>
      <c r="AT101" s="149" t="s">
        <v>186</v>
      </c>
      <c r="AU101" s="149" t="s">
        <v>20</v>
      </c>
      <c r="AY101" s="18" t="s">
        <v>184</v>
      </c>
      <c r="BE101" s="150">
        <f>IF(N101="základní",J101,0)</f>
        <v>160684.15</v>
      </c>
      <c r="BF101" s="150">
        <f>IF(N101="snížená",J101,0)</f>
        <v>0</v>
      </c>
      <c r="BG101" s="150">
        <f>IF(N101="zákl. přenesená",J101,0)</f>
        <v>0</v>
      </c>
      <c r="BH101" s="150">
        <f>IF(N101="sníž. přenesená",J101,0)</f>
        <v>0</v>
      </c>
      <c r="BI101" s="150">
        <f>IF(N101="nulová",J101,0)</f>
        <v>0</v>
      </c>
      <c r="BJ101" s="18" t="s">
        <v>88</v>
      </c>
      <c r="BK101" s="150">
        <f>ROUND(I101*H101,2)</f>
        <v>160684.15</v>
      </c>
      <c r="BL101" s="18" t="s">
        <v>191</v>
      </c>
      <c r="BM101" s="149" t="s">
        <v>1703</v>
      </c>
    </row>
    <row r="102" spans="2:65" s="1" customFormat="1" x14ac:dyDescent="0.3">
      <c r="B102" s="33"/>
      <c r="D102" s="151" t="s">
        <v>193</v>
      </c>
      <c r="F102" s="152" t="s">
        <v>520</v>
      </c>
      <c r="I102" s="153"/>
      <c r="L102" s="33"/>
      <c r="M102" s="154"/>
      <c r="T102" s="57"/>
      <c r="AT102" s="18" t="s">
        <v>193</v>
      </c>
      <c r="AU102" s="18" t="s">
        <v>20</v>
      </c>
    </row>
    <row r="103" spans="2:65" s="1" customFormat="1" ht="37.9" customHeight="1" x14ac:dyDescent="0.3">
      <c r="B103" s="33"/>
      <c r="C103" s="138" t="s">
        <v>221</v>
      </c>
      <c r="D103" s="138" t="s">
        <v>186</v>
      </c>
      <c r="E103" s="139" t="s">
        <v>521</v>
      </c>
      <c r="F103" s="140" t="s">
        <v>1704</v>
      </c>
      <c r="G103" s="141" t="s">
        <v>189</v>
      </c>
      <c r="H103" s="142">
        <v>1279.74</v>
      </c>
      <c r="I103" s="143">
        <v>172.64</v>
      </c>
      <c r="J103" s="144">
        <f>ROUND(I103*H103,2)</f>
        <v>220934.31</v>
      </c>
      <c r="K103" s="140" t="s">
        <v>190</v>
      </c>
      <c r="L103" s="33"/>
      <c r="M103" s="145" t="s">
        <v>1</v>
      </c>
      <c r="N103" s="146" t="s">
        <v>47</v>
      </c>
      <c r="O103" s="147">
        <v>4.2999999999999997E-2</v>
      </c>
      <c r="P103" s="147">
        <f>O103*H103</f>
        <v>55.028819999999996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AR103" s="149" t="s">
        <v>191</v>
      </c>
      <c r="AT103" s="149" t="s">
        <v>186</v>
      </c>
      <c r="AU103" s="149" t="s">
        <v>20</v>
      </c>
      <c r="AY103" s="18" t="s">
        <v>184</v>
      </c>
      <c r="BE103" s="150">
        <f>IF(N103="základní",J103,0)</f>
        <v>220934.31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8" t="s">
        <v>88</v>
      </c>
      <c r="BK103" s="150">
        <f>ROUND(I103*H103,2)</f>
        <v>220934.31</v>
      </c>
      <c r="BL103" s="18" t="s">
        <v>191</v>
      </c>
      <c r="BM103" s="149" t="s">
        <v>1705</v>
      </c>
    </row>
    <row r="104" spans="2:65" s="1" customFormat="1" x14ac:dyDescent="0.3">
      <c r="B104" s="33"/>
      <c r="D104" s="151" t="s">
        <v>193</v>
      </c>
      <c r="F104" s="152" t="s">
        <v>524</v>
      </c>
      <c r="I104" s="153"/>
      <c r="L104" s="33"/>
      <c r="M104" s="154"/>
      <c r="T104" s="57"/>
      <c r="AT104" s="18" t="s">
        <v>193</v>
      </c>
      <c r="AU104" s="18" t="s">
        <v>20</v>
      </c>
    </row>
    <row r="105" spans="2:65" s="1" customFormat="1" ht="19.5" x14ac:dyDescent="0.3">
      <c r="B105" s="33"/>
      <c r="D105" s="156" t="s">
        <v>236</v>
      </c>
      <c r="F105" s="170" t="s">
        <v>434</v>
      </c>
      <c r="I105" s="153"/>
      <c r="L105" s="33"/>
      <c r="M105" s="154"/>
      <c r="T105" s="57"/>
      <c r="AT105" s="18" t="s">
        <v>236</v>
      </c>
      <c r="AU105" s="18" t="s">
        <v>20</v>
      </c>
    </row>
    <row r="106" spans="2:65" s="1" customFormat="1" ht="37.9" customHeight="1" x14ac:dyDescent="0.3">
      <c r="B106" s="33"/>
      <c r="C106" s="138" t="s">
        <v>231</v>
      </c>
      <c r="D106" s="138" t="s">
        <v>186</v>
      </c>
      <c r="E106" s="139" t="s">
        <v>525</v>
      </c>
      <c r="F106" s="140" t="s">
        <v>1706</v>
      </c>
      <c r="G106" s="141" t="s">
        <v>189</v>
      </c>
      <c r="H106" s="142">
        <v>1279.74</v>
      </c>
      <c r="I106" s="143">
        <v>172.64</v>
      </c>
      <c r="J106" s="144">
        <f>ROUND(I106*H106,2)</f>
        <v>220934.31</v>
      </c>
      <c r="K106" s="140" t="s">
        <v>190</v>
      </c>
      <c r="L106" s="33"/>
      <c r="M106" s="145" t="s">
        <v>1</v>
      </c>
      <c r="N106" s="146" t="s">
        <v>47</v>
      </c>
      <c r="O106" s="147">
        <v>4.3999999999999997E-2</v>
      </c>
      <c r="P106" s="147">
        <f>O106*H106</f>
        <v>56.30856</v>
      </c>
      <c r="Q106" s="147">
        <v>0</v>
      </c>
      <c r="R106" s="147">
        <f>Q106*H106</f>
        <v>0</v>
      </c>
      <c r="S106" s="147">
        <v>0</v>
      </c>
      <c r="T106" s="148">
        <f>S106*H106</f>
        <v>0</v>
      </c>
      <c r="AR106" s="149" t="s">
        <v>191</v>
      </c>
      <c r="AT106" s="149" t="s">
        <v>186</v>
      </c>
      <c r="AU106" s="149" t="s">
        <v>20</v>
      </c>
      <c r="AY106" s="18" t="s">
        <v>184</v>
      </c>
      <c r="BE106" s="150">
        <f>IF(N106="základní",J106,0)</f>
        <v>220934.31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8" t="s">
        <v>88</v>
      </c>
      <c r="BK106" s="150">
        <f>ROUND(I106*H106,2)</f>
        <v>220934.31</v>
      </c>
      <c r="BL106" s="18" t="s">
        <v>191</v>
      </c>
      <c r="BM106" s="149" t="s">
        <v>1707</v>
      </c>
    </row>
    <row r="107" spans="2:65" s="1" customFormat="1" x14ac:dyDescent="0.3">
      <c r="B107" s="33"/>
      <c r="D107" s="151" t="s">
        <v>193</v>
      </c>
      <c r="F107" s="152" t="s">
        <v>528</v>
      </c>
      <c r="I107" s="153"/>
      <c r="L107" s="33"/>
      <c r="M107" s="154"/>
      <c r="T107" s="57"/>
      <c r="AT107" s="18" t="s">
        <v>193</v>
      </c>
      <c r="AU107" s="18" t="s">
        <v>20</v>
      </c>
    </row>
    <row r="108" spans="2:65" s="1" customFormat="1" ht="19.5" x14ac:dyDescent="0.3">
      <c r="B108" s="33"/>
      <c r="D108" s="156" t="s">
        <v>236</v>
      </c>
      <c r="F108" s="170" t="s">
        <v>439</v>
      </c>
      <c r="I108" s="153"/>
      <c r="L108" s="33"/>
      <c r="M108" s="154"/>
      <c r="T108" s="57"/>
      <c r="AT108" s="18" t="s">
        <v>236</v>
      </c>
      <c r="AU108" s="18" t="s">
        <v>20</v>
      </c>
    </row>
    <row r="109" spans="2:65" s="1" customFormat="1" ht="16.5" customHeight="1" x14ac:dyDescent="0.3">
      <c r="B109" s="33"/>
      <c r="C109" s="172" t="s">
        <v>239</v>
      </c>
      <c r="D109" s="172" t="s">
        <v>271</v>
      </c>
      <c r="E109" s="173" t="s">
        <v>440</v>
      </c>
      <c r="F109" s="174" t="s">
        <v>441</v>
      </c>
      <c r="G109" s="175" t="s">
        <v>248</v>
      </c>
      <c r="H109" s="176">
        <v>31.994</v>
      </c>
      <c r="I109" s="177">
        <v>5336.24</v>
      </c>
      <c r="J109" s="178">
        <f>ROUND(I109*H109,2)</f>
        <v>170727.66</v>
      </c>
      <c r="K109" s="174" t="s">
        <v>190</v>
      </c>
      <c r="L109" s="179"/>
      <c r="M109" s="180" t="s">
        <v>1</v>
      </c>
      <c r="N109" s="181" t="s">
        <v>47</v>
      </c>
      <c r="O109" s="147">
        <v>0</v>
      </c>
      <c r="P109" s="147">
        <f>O109*H109</f>
        <v>0</v>
      </c>
      <c r="Q109" s="147">
        <v>1</v>
      </c>
      <c r="R109" s="147">
        <f>Q109*H109</f>
        <v>31.994</v>
      </c>
      <c r="S109" s="147">
        <v>0</v>
      </c>
      <c r="T109" s="148">
        <f>S109*H109</f>
        <v>0</v>
      </c>
      <c r="AR109" s="149" t="s">
        <v>239</v>
      </c>
      <c r="AT109" s="149" t="s">
        <v>271</v>
      </c>
      <c r="AU109" s="149" t="s">
        <v>20</v>
      </c>
      <c r="AY109" s="18" t="s">
        <v>184</v>
      </c>
      <c r="BE109" s="150">
        <f>IF(N109="základní",J109,0)</f>
        <v>170727.66</v>
      </c>
      <c r="BF109" s="150">
        <f>IF(N109="snížená",J109,0)</f>
        <v>0</v>
      </c>
      <c r="BG109" s="150">
        <f>IF(N109="zákl. přenesená",J109,0)</f>
        <v>0</v>
      </c>
      <c r="BH109" s="150">
        <f>IF(N109="sníž. přenesená",J109,0)</f>
        <v>0</v>
      </c>
      <c r="BI109" s="150">
        <f>IF(N109="nulová",J109,0)</f>
        <v>0</v>
      </c>
      <c r="BJ109" s="18" t="s">
        <v>88</v>
      </c>
      <c r="BK109" s="150">
        <f>ROUND(I109*H109,2)</f>
        <v>170727.66</v>
      </c>
      <c r="BL109" s="18" t="s">
        <v>191</v>
      </c>
      <c r="BM109" s="149" t="s">
        <v>1708</v>
      </c>
    </row>
    <row r="110" spans="2:65" s="12" customFormat="1" ht="11.25" x14ac:dyDescent="0.3">
      <c r="B110" s="155"/>
      <c r="D110" s="156" t="s">
        <v>195</v>
      </c>
      <c r="E110" s="157" t="s">
        <v>1</v>
      </c>
      <c r="F110" s="158" t="s">
        <v>1709</v>
      </c>
      <c r="H110" s="159">
        <v>31.994</v>
      </c>
      <c r="I110" s="160"/>
      <c r="L110" s="155"/>
      <c r="M110" s="161"/>
      <c r="T110" s="162"/>
      <c r="AT110" s="157" t="s">
        <v>195</v>
      </c>
      <c r="AU110" s="157" t="s">
        <v>20</v>
      </c>
      <c r="AV110" s="12" t="s">
        <v>20</v>
      </c>
      <c r="AW110" s="12" t="s">
        <v>37</v>
      </c>
      <c r="AX110" s="12" t="s">
        <v>88</v>
      </c>
      <c r="AY110" s="157" t="s">
        <v>184</v>
      </c>
    </row>
    <row r="111" spans="2:65" s="1" customFormat="1" ht="16.5" customHeight="1" x14ac:dyDescent="0.3">
      <c r="B111" s="33"/>
      <c r="C111" s="172" t="s">
        <v>245</v>
      </c>
      <c r="D111" s="172" t="s">
        <v>271</v>
      </c>
      <c r="E111" s="173" t="s">
        <v>444</v>
      </c>
      <c r="F111" s="174" t="s">
        <v>445</v>
      </c>
      <c r="G111" s="175" t="s">
        <v>446</v>
      </c>
      <c r="H111" s="176">
        <v>511.89600000000002</v>
      </c>
      <c r="I111" s="177">
        <v>627.78</v>
      </c>
      <c r="J111" s="178">
        <f>ROUND(I111*H111,2)</f>
        <v>321358.07</v>
      </c>
      <c r="K111" s="174" t="s">
        <v>190</v>
      </c>
      <c r="L111" s="179"/>
      <c r="M111" s="180" t="s">
        <v>1</v>
      </c>
      <c r="N111" s="181" t="s">
        <v>47</v>
      </c>
      <c r="O111" s="147">
        <v>0</v>
      </c>
      <c r="P111" s="147">
        <f>O111*H111</f>
        <v>0</v>
      </c>
      <c r="Q111" s="147">
        <v>1E-3</v>
      </c>
      <c r="R111" s="147">
        <f>Q111*H111</f>
        <v>0.51189600000000002</v>
      </c>
      <c r="S111" s="147">
        <v>0</v>
      </c>
      <c r="T111" s="148">
        <f>S111*H111</f>
        <v>0</v>
      </c>
      <c r="AR111" s="149" t="s">
        <v>239</v>
      </c>
      <c r="AT111" s="149" t="s">
        <v>271</v>
      </c>
      <c r="AU111" s="149" t="s">
        <v>20</v>
      </c>
      <c r="AY111" s="18" t="s">
        <v>184</v>
      </c>
      <c r="BE111" s="150">
        <f>IF(N111="základní",J111,0)</f>
        <v>321358.07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8" t="s">
        <v>88</v>
      </c>
      <c r="BK111" s="150">
        <f>ROUND(I111*H111,2)</f>
        <v>321358.07</v>
      </c>
      <c r="BL111" s="18" t="s">
        <v>191</v>
      </c>
      <c r="BM111" s="149" t="s">
        <v>1710</v>
      </c>
    </row>
    <row r="112" spans="2:65" s="12" customFormat="1" ht="11.25" x14ac:dyDescent="0.3">
      <c r="B112" s="155"/>
      <c r="D112" s="156" t="s">
        <v>195</v>
      </c>
      <c r="E112" s="157" t="s">
        <v>1</v>
      </c>
      <c r="F112" s="158" t="s">
        <v>1711</v>
      </c>
      <c r="H112" s="159">
        <v>511.89600000000002</v>
      </c>
      <c r="I112" s="160"/>
      <c r="L112" s="155"/>
      <c r="M112" s="161"/>
      <c r="T112" s="162"/>
      <c r="AT112" s="157" t="s">
        <v>195</v>
      </c>
      <c r="AU112" s="157" t="s">
        <v>20</v>
      </c>
      <c r="AV112" s="12" t="s">
        <v>20</v>
      </c>
      <c r="AW112" s="12" t="s">
        <v>37</v>
      </c>
      <c r="AX112" s="12" t="s">
        <v>88</v>
      </c>
      <c r="AY112" s="157" t="s">
        <v>184</v>
      </c>
    </row>
    <row r="113" spans="2:65" s="1" customFormat="1" ht="16.5" customHeight="1" x14ac:dyDescent="0.3">
      <c r="B113" s="33"/>
      <c r="C113" s="138" t="s">
        <v>252</v>
      </c>
      <c r="D113" s="138" t="s">
        <v>186</v>
      </c>
      <c r="E113" s="139" t="s">
        <v>533</v>
      </c>
      <c r="F113" s="140" t="s">
        <v>1712</v>
      </c>
      <c r="G113" s="141" t="s">
        <v>189</v>
      </c>
      <c r="H113" s="142">
        <v>1163.4000000000001</v>
      </c>
      <c r="I113" s="143">
        <v>94.17</v>
      </c>
      <c r="J113" s="144">
        <f>ROUND(I113*H113,2)</f>
        <v>109557.38</v>
      </c>
      <c r="K113" s="140" t="s">
        <v>190</v>
      </c>
      <c r="L113" s="33"/>
      <c r="M113" s="145" t="s">
        <v>1</v>
      </c>
      <c r="N113" s="146" t="s">
        <v>47</v>
      </c>
      <c r="O113" s="147">
        <v>4.0000000000000001E-3</v>
      </c>
      <c r="P113" s="147">
        <f>O113*H113</f>
        <v>4.6536000000000008</v>
      </c>
      <c r="Q113" s="147">
        <v>6.5199999999999998E-3</v>
      </c>
      <c r="R113" s="147">
        <f>Q113*H113</f>
        <v>7.5853679999999999</v>
      </c>
      <c r="S113" s="147">
        <v>0</v>
      </c>
      <c r="T113" s="148">
        <f>S113*H113</f>
        <v>0</v>
      </c>
      <c r="AR113" s="149" t="s">
        <v>191</v>
      </c>
      <c r="AT113" s="149" t="s">
        <v>186</v>
      </c>
      <c r="AU113" s="149" t="s">
        <v>20</v>
      </c>
      <c r="AY113" s="18" t="s">
        <v>184</v>
      </c>
      <c r="BE113" s="150">
        <f>IF(N113="základní",J113,0)</f>
        <v>109557.38</v>
      </c>
      <c r="BF113" s="150">
        <f>IF(N113="snížená",J113,0)</f>
        <v>0</v>
      </c>
      <c r="BG113" s="150">
        <f>IF(N113="zákl. přenesená",J113,0)</f>
        <v>0</v>
      </c>
      <c r="BH113" s="150">
        <f>IF(N113="sníž. přenesená",J113,0)</f>
        <v>0</v>
      </c>
      <c r="BI113" s="150">
        <f>IF(N113="nulová",J113,0)</f>
        <v>0</v>
      </c>
      <c r="BJ113" s="18" t="s">
        <v>88</v>
      </c>
      <c r="BK113" s="150">
        <f>ROUND(I113*H113,2)</f>
        <v>109557.38</v>
      </c>
      <c r="BL113" s="18" t="s">
        <v>191</v>
      </c>
      <c r="BM113" s="149" t="s">
        <v>1713</v>
      </c>
    </row>
    <row r="114" spans="2:65" s="1" customFormat="1" x14ac:dyDescent="0.3">
      <c r="B114" s="33"/>
      <c r="D114" s="151" t="s">
        <v>193</v>
      </c>
      <c r="F114" s="152" t="s">
        <v>536</v>
      </c>
      <c r="I114" s="153"/>
      <c r="L114" s="33"/>
      <c r="M114" s="154"/>
      <c r="T114" s="57"/>
      <c r="AT114" s="18" t="s">
        <v>193</v>
      </c>
      <c r="AU114" s="18" t="s">
        <v>20</v>
      </c>
    </row>
    <row r="115" spans="2:65" s="12" customFormat="1" ht="11.25" x14ac:dyDescent="0.3">
      <c r="B115" s="155"/>
      <c r="D115" s="156" t="s">
        <v>195</v>
      </c>
      <c r="E115" s="157" t="s">
        <v>1</v>
      </c>
      <c r="F115" s="158" t="s">
        <v>1714</v>
      </c>
      <c r="H115" s="159">
        <v>742.49</v>
      </c>
      <c r="I115" s="160"/>
      <c r="L115" s="155"/>
      <c r="M115" s="161"/>
      <c r="T115" s="162"/>
      <c r="AT115" s="157" t="s">
        <v>195</v>
      </c>
      <c r="AU115" s="157" t="s">
        <v>20</v>
      </c>
      <c r="AV115" s="12" t="s">
        <v>20</v>
      </c>
      <c r="AW115" s="12" t="s">
        <v>37</v>
      </c>
      <c r="AX115" s="12" t="s">
        <v>81</v>
      </c>
      <c r="AY115" s="157" t="s">
        <v>184</v>
      </c>
    </row>
    <row r="116" spans="2:65" s="12" customFormat="1" ht="11.25" x14ac:dyDescent="0.3">
      <c r="B116" s="155"/>
      <c r="D116" s="156" t="s">
        <v>195</v>
      </c>
      <c r="E116" s="157" t="s">
        <v>1</v>
      </c>
      <c r="F116" s="158" t="s">
        <v>1715</v>
      </c>
      <c r="H116" s="159">
        <v>420.91</v>
      </c>
      <c r="I116" s="160"/>
      <c r="L116" s="155"/>
      <c r="M116" s="161"/>
      <c r="T116" s="162"/>
      <c r="AT116" s="157" t="s">
        <v>195</v>
      </c>
      <c r="AU116" s="157" t="s">
        <v>20</v>
      </c>
      <c r="AV116" s="12" t="s">
        <v>20</v>
      </c>
      <c r="AW116" s="12" t="s">
        <v>37</v>
      </c>
      <c r="AX116" s="12" t="s">
        <v>81</v>
      </c>
      <c r="AY116" s="157" t="s">
        <v>184</v>
      </c>
    </row>
    <row r="117" spans="2:65" s="13" customFormat="1" ht="11.25" x14ac:dyDescent="0.3">
      <c r="B117" s="163"/>
      <c r="D117" s="156" t="s">
        <v>195</v>
      </c>
      <c r="E117" s="164" t="s">
        <v>1</v>
      </c>
      <c r="F117" s="165" t="s">
        <v>230</v>
      </c>
      <c r="H117" s="166">
        <v>1163.4000000000001</v>
      </c>
      <c r="I117" s="167"/>
      <c r="L117" s="163"/>
      <c r="M117" s="168"/>
      <c r="T117" s="169"/>
      <c r="AT117" s="164" t="s">
        <v>195</v>
      </c>
      <c r="AU117" s="164" t="s">
        <v>20</v>
      </c>
      <c r="AV117" s="13" t="s">
        <v>191</v>
      </c>
      <c r="AW117" s="13" t="s">
        <v>37</v>
      </c>
      <c r="AX117" s="13" t="s">
        <v>88</v>
      </c>
      <c r="AY117" s="164" t="s">
        <v>184</v>
      </c>
    </row>
    <row r="118" spans="2:65" s="1" customFormat="1" ht="24.2" customHeight="1" x14ac:dyDescent="0.3">
      <c r="B118" s="33"/>
      <c r="C118" s="138" t="s">
        <v>257</v>
      </c>
      <c r="D118" s="138" t="s">
        <v>186</v>
      </c>
      <c r="E118" s="139" t="s">
        <v>539</v>
      </c>
      <c r="F118" s="140" t="s">
        <v>1716</v>
      </c>
      <c r="G118" s="141" t="s">
        <v>189</v>
      </c>
      <c r="H118" s="142">
        <v>1163.4000000000001</v>
      </c>
      <c r="I118" s="143">
        <v>627.76</v>
      </c>
      <c r="J118" s="144">
        <f>ROUND(I118*H118,2)</f>
        <v>730335.98</v>
      </c>
      <c r="K118" s="140" t="s">
        <v>190</v>
      </c>
      <c r="L118" s="33"/>
      <c r="M118" s="145" t="s">
        <v>1</v>
      </c>
      <c r="N118" s="146" t="s">
        <v>47</v>
      </c>
      <c r="O118" s="147">
        <v>7.0999999999999994E-2</v>
      </c>
      <c r="P118" s="147">
        <f>O118*H118</f>
        <v>82.601399999999998</v>
      </c>
      <c r="Q118" s="147">
        <v>0.12966</v>
      </c>
      <c r="R118" s="147">
        <f>Q118*H118</f>
        <v>150.84644400000002</v>
      </c>
      <c r="S118" s="147">
        <v>0</v>
      </c>
      <c r="T118" s="148">
        <f>S118*H118</f>
        <v>0</v>
      </c>
      <c r="AR118" s="149" t="s">
        <v>191</v>
      </c>
      <c r="AT118" s="149" t="s">
        <v>186</v>
      </c>
      <c r="AU118" s="149" t="s">
        <v>20</v>
      </c>
      <c r="AY118" s="18" t="s">
        <v>184</v>
      </c>
      <c r="BE118" s="150">
        <f>IF(N118="základní",J118,0)</f>
        <v>730335.98</v>
      </c>
      <c r="BF118" s="150">
        <f>IF(N118="snížená",J118,0)</f>
        <v>0</v>
      </c>
      <c r="BG118" s="150">
        <f>IF(N118="zákl. přenesená",J118,0)</f>
        <v>0</v>
      </c>
      <c r="BH118" s="150">
        <f>IF(N118="sníž. přenesená",J118,0)</f>
        <v>0</v>
      </c>
      <c r="BI118" s="150">
        <f>IF(N118="nulová",J118,0)</f>
        <v>0</v>
      </c>
      <c r="BJ118" s="18" t="s">
        <v>88</v>
      </c>
      <c r="BK118" s="150">
        <f>ROUND(I118*H118,2)</f>
        <v>730335.98</v>
      </c>
      <c r="BL118" s="18" t="s">
        <v>191</v>
      </c>
      <c r="BM118" s="149" t="s">
        <v>1717</v>
      </c>
    </row>
    <row r="119" spans="2:65" s="1" customFormat="1" x14ac:dyDescent="0.3">
      <c r="B119" s="33"/>
      <c r="D119" s="151" t="s">
        <v>193</v>
      </c>
      <c r="F119" s="152" t="s">
        <v>542</v>
      </c>
      <c r="I119" s="153"/>
      <c r="L119" s="33"/>
      <c r="M119" s="154"/>
      <c r="T119" s="57"/>
      <c r="AT119" s="18" t="s">
        <v>193</v>
      </c>
      <c r="AU119" s="18" t="s">
        <v>20</v>
      </c>
    </row>
    <row r="120" spans="2:65" s="1" customFormat="1" ht="19.5" x14ac:dyDescent="0.3">
      <c r="B120" s="33"/>
      <c r="D120" s="156" t="s">
        <v>236</v>
      </c>
      <c r="F120" s="170" t="s">
        <v>543</v>
      </c>
      <c r="I120" s="153"/>
      <c r="L120" s="33"/>
      <c r="M120" s="154"/>
      <c r="T120" s="57"/>
      <c r="AT120" s="18" t="s">
        <v>236</v>
      </c>
      <c r="AU120" s="18" t="s">
        <v>20</v>
      </c>
    </row>
    <row r="121" spans="2:65" s="12" customFormat="1" ht="11.25" x14ac:dyDescent="0.3">
      <c r="B121" s="155"/>
      <c r="D121" s="156" t="s">
        <v>195</v>
      </c>
      <c r="E121" s="157" t="s">
        <v>1</v>
      </c>
      <c r="F121" s="158" t="s">
        <v>1714</v>
      </c>
      <c r="H121" s="159">
        <v>742.49</v>
      </c>
      <c r="I121" s="160"/>
      <c r="L121" s="155"/>
      <c r="M121" s="161"/>
      <c r="T121" s="162"/>
      <c r="AT121" s="157" t="s">
        <v>195</v>
      </c>
      <c r="AU121" s="157" t="s">
        <v>20</v>
      </c>
      <c r="AV121" s="12" t="s">
        <v>20</v>
      </c>
      <c r="AW121" s="12" t="s">
        <v>37</v>
      </c>
      <c r="AX121" s="12" t="s">
        <v>81</v>
      </c>
      <c r="AY121" s="157" t="s">
        <v>184</v>
      </c>
    </row>
    <row r="122" spans="2:65" s="12" customFormat="1" ht="11.25" x14ac:dyDescent="0.3">
      <c r="B122" s="155"/>
      <c r="D122" s="156" t="s">
        <v>195</v>
      </c>
      <c r="E122" s="157" t="s">
        <v>1</v>
      </c>
      <c r="F122" s="158" t="s">
        <v>1715</v>
      </c>
      <c r="H122" s="159">
        <v>420.91</v>
      </c>
      <c r="I122" s="160"/>
      <c r="L122" s="155"/>
      <c r="M122" s="161"/>
      <c r="T122" s="162"/>
      <c r="AT122" s="157" t="s">
        <v>195</v>
      </c>
      <c r="AU122" s="157" t="s">
        <v>20</v>
      </c>
      <c r="AV122" s="12" t="s">
        <v>20</v>
      </c>
      <c r="AW122" s="12" t="s">
        <v>37</v>
      </c>
      <c r="AX122" s="12" t="s">
        <v>81</v>
      </c>
      <c r="AY122" s="157" t="s">
        <v>184</v>
      </c>
    </row>
    <row r="123" spans="2:65" s="13" customFormat="1" ht="11.25" x14ac:dyDescent="0.3">
      <c r="B123" s="163"/>
      <c r="D123" s="156" t="s">
        <v>195</v>
      </c>
      <c r="E123" s="164" t="s">
        <v>1</v>
      </c>
      <c r="F123" s="165" t="s">
        <v>230</v>
      </c>
      <c r="H123" s="166">
        <v>1163.4000000000001</v>
      </c>
      <c r="I123" s="167"/>
      <c r="L123" s="163"/>
      <c r="M123" s="168"/>
      <c r="T123" s="169"/>
      <c r="AT123" s="164" t="s">
        <v>195</v>
      </c>
      <c r="AU123" s="164" t="s">
        <v>20</v>
      </c>
      <c r="AV123" s="13" t="s">
        <v>191</v>
      </c>
      <c r="AW123" s="13" t="s">
        <v>37</v>
      </c>
      <c r="AX123" s="13" t="s">
        <v>88</v>
      </c>
      <c r="AY123" s="164" t="s">
        <v>184</v>
      </c>
    </row>
    <row r="124" spans="2:65" s="11" customFormat="1" ht="22.9" customHeight="1" x14ac:dyDescent="0.2">
      <c r="B124" s="127"/>
      <c r="D124" s="128" t="s">
        <v>80</v>
      </c>
      <c r="E124" s="136" t="s">
        <v>245</v>
      </c>
      <c r="F124" s="136" t="s">
        <v>304</v>
      </c>
      <c r="I124" s="171"/>
      <c r="J124" s="137">
        <f>BK124</f>
        <v>420887.20999999996</v>
      </c>
      <c r="L124" s="127"/>
      <c r="M124" s="131"/>
      <c r="P124" s="132">
        <f>SUM(P125:P175)</f>
        <v>130.47064</v>
      </c>
      <c r="R124" s="132">
        <f>SUM(R125:R175)</f>
        <v>84.529886099999999</v>
      </c>
      <c r="T124" s="133">
        <f>SUM(T125:T175)</f>
        <v>40.083999999999996</v>
      </c>
      <c r="AR124" s="128" t="s">
        <v>88</v>
      </c>
      <c r="AT124" s="134" t="s">
        <v>80</v>
      </c>
      <c r="AU124" s="134" t="s">
        <v>88</v>
      </c>
      <c r="AY124" s="128" t="s">
        <v>184</v>
      </c>
      <c r="BK124" s="135">
        <f>SUM(BK125:BK175)</f>
        <v>420887.20999999996</v>
      </c>
    </row>
    <row r="125" spans="2:65" s="1" customFormat="1" ht="16.5" customHeight="1" x14ac:dyDescent="0.3">
      <c r="B125" s="33"/>
      <c r="C125" s="138" t="s">
        <v>264</v>
      </c>
      <c r="D125" s="138" t="s">
        <v>186</v>
      </c>
      <c r="E125" s="139" t="s">
        <v>555</v>
      </c>
      <c r="F125" s="140" t="s">
        <v>1641</v>
      </c>
      <c r="G125" s="141" t="s">
        <v>557</v>
      </c>
      <c r="H125" s="142">
        <v>2</v>
      </c>
      <c r="I125" s="143">
        <v>381.65</v>
      </c>
      <c r="J125" s="144">
        <f>ROUND(I125*H125,2)</f>
        <v>763.3</v>
      </c>
      <c r="K125" s="140" t="s">
        <v>190</v>
      </c>
      <c r="L125" s="33"/>
      <c r="M125" s="145" t="s">
        <v>1</v>
      </c>
      <c r="N125" s="146" t="s">
        <v>47</v>
      </c>
      <c r="O125" s="147">
        <v>0.2</v>
      </c>
      <c r="P125" s="147">
        <f>O125*H125</f>
        <v>0.4</v>
      </c>
      <c r="Q125" s="147">
        <v>6.9999999999999999E-4</v>
      </c>
      <c r="R125" s="147">
        <f>Q125*H125</f>
        <v>1.4E-3</v>
      </c>
      <c r="S125" s="147">
        <v>0</v>
      </c>
      <c r="T125" s="148">
        <f>S125*H125</f>
        <v>0</v>
      </c>
      <c r="AR125" s="149" t="s">
        <v>191</v>
      </c>
      <c r="AT125" s="149" t="s">
        <v>186</v>
      </c>
      <c r="AU125" s="149" t="s">
        <v>20</v>
      </c>
      <c r="AY125" s="18" t="s">
        <v>184</v>
      </c>
      <c r="BE125" s="150">
        <f>IF(N125="základní",J125,0)</f>
        <v>763.3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8" t="s">
        <v>88</v>
      </c>
      <c r="BK125" s="150">
        <f>ROUND(I125*H125,2)</f>
        <v>763.3</v>
      </c>
      <c r="BL125" s="18" t="s">
        <v>191</v>
      </c>
      <c r="BM125" s="149" t="s">
        <v>1718</v>
      </c>
    </row>
    <row r="126" spans="2:65" s="1" customFormat="1" x14ac:dyDescent="0.3">
      <c r="B126" s="33"/>
      <c r="D126" s="151" t="s">
        <v>193</v>
      </c>
      <c r="F126" s="152" t="s">
        <v>559</v>
      </c>
      <c r="I126" s="153"/>
      <c r="L126" s="33"/>
      <c r="M126" s="154"/>
      <c r="T126" s="57"/>
      <c r="AT126" s="18" t="s">
        <v>193</v>
      </c>
      <c r="AU126" s="18" t="s">
        <v>20</v>
      </c>
    </row>
    <row r="127" spans="2:65" s="12" customFormat="1" ht="11.25" x14ac:dyDescent="0.3">
      <c r="B127" s="155"/>
      <c r="D127" s="156" t="s">
        <v>195</v>
      </c>
      <c r="E127" s="157" t="s">
        <v>1</v>
      </c>
      <c r="F127" s="158" t="s">
        <v>1643</v>
      </c>
      <c r="H127" s="159">
        <v>2</v>
      </c>
      <c r="I127" s="160"/>
      <c r="L127" s="155"/>
      <c r="M127" s="161"/>
      <c r="T127" s="162"/>
      <c r="AT127" s="157" t="s">
        <v>195</v>
      </c>
      <c r="AU127" s="157" t="s">
        <v>20</v>
      </c>
      <c r="AV127" s="12" t="s">
        <v>20</v>
      </c>
      <c r="AW127" s="12" t="s">
        <v>37</v>
      </c>
      <c r="AX127" s="12" t="s">
        <v>88</v>
      </c>
      <c r="AY127" s="157" t="s">
        <v>184</v>
      </c>
    </row>
    <row r="128" spans="2:65" s="1" customFormat="1" ht="16.5" customHeight="1" x14ac:dyDescent="0.3">
      <c r="B128" s="33"/>
      <c r="C128" s="172" t="s">
        <v>270</v>
      </c>
      <c r="D128" s="172" t="s">
        <v>271</v>
      </c>
      <c r="E128" s="173" t="s">
        <v>562</v>
      </c>
      <c r="F128" s="174" t="s">
        <v>563</v>
      </c>
      <c r="G128" s="175" t="s">
        <v>557</v>
      </c>
      <c r="H128" s="176">
        <v>2</v>
      </c>
      <c r="I128" s="177">
        <v>4581.53</v>
      </c>
      <c r="J128" s="178">
        <f>ROUND(I128*H128,2)</f>
        <v>9163.06</v>
      </c>
      <c r="K128" s="174" t="s">
        <v>190</v>
      </c>
      <c r="L128" s="179"/>
      <c r="M128" s="180" t="s">
        <v>1</v>
      </c>
      <c r="N128" s="181" t="s">
        <v>47</v>
      </c>
      <c r="O128" s="147">
        <v>0</v>
      </c>
      <c r="P128" s="147">
        <f>O128*H128</f>
        <v>0</v>
      </c>
      <c r="Q128" s="147">
        <v>7.7000000000000002E-3</v>
      </c>
      <c r="R128" s="147">
        <f>Q128*H128</f>
        <v>1.54E-2</v>
      </c>
      <c r="S128" s="147">
        <v>0</v>
      </c>
      <c r="T128" s="148">
        <f>S128*H128</f>
        <v>0</v>
      </c>
      <c r="AR128" s="149" t="s">
        <v>239</v>
      </c>
      <c r="AT128" s="149" t="s">
        <v>271</v>
      </c>
      <c r="AU128" s="149" t="s">
        <v>20</v>
      </c>
      <c r="AY128" s="18" t="s">
        <v>184</v>
      </c>
      <c r="BE128" s="150">
        <f>IF(N128="základní",J128,0)</f>
        <v>9163.06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9163.06</v>
      </c>
      <c r="BL128" s="18" t="s">
        <v>191</v>
      </c>
      <c r="BM128" s="149" t="s">
        <v>1719</v>
      </c>
    </row>
    <row r="129" spans="2:65" s="12" customFormat="1" ht="11.25" x14ac:dyDescent="0.3">
      <c r="B129" s="155"/>
      <c r="D129" s="156" t="s">
        <v>195</v>
      </c>
      <c r="E129" s="157" t="s">
        <v>1</v>
      </c>
      <c r="F129" s="158" t="s">
        <v>565</v>
      </c>
      <c r="H129" s="159">
        <v>2</v>
      </c>
      <c r="I129" s="160"/>
      <c r="L129" s="155"/>
      <c r="M129" s="161"/>
      <c r="T129" s="162"/>
      <c r="AT129" s="157" t="s">
        <v>195</v>
      </c>
      <c r="AU129" s="157" t="s">
        <v>20</v>
      </c>
      <c r="AV129" s="12" t="s">
        <v>20</v>
      </c>
      <c r="AW129" s="12" t="s">
        <v>37</v>
      </c>
      <c r="AX129" s="12" t="s">
        <v>88</v>
      </c>
      <c r="AY129" s="157" t="s">
        <v>184</v>
      </c>
    </row>
    <row r="130" spans="2:65" s="1" customFormat="1" ht="16.5" customHeight="1" x14ac:dyDescent="0.3">
      <c r="B130" s="33"/>
      <c r="C130" s="138" t="s">
        <v>276</v>
      </c>
      <c r="D130" s="138" t="s">
        <v>186</v>
      </c>
      <c r="E130" s="139" t="s">
        <v>567</v>
      </c>
      <c r="F130" s="140" t="s">
        <v>1652</v>
      </c>
      <c r="G130" s="141" t="s">
        <v>557</v>
      </c>
      <c r="H130" s="142">
        <v>2</v>
      </c>
      <c r="I130" s="143">
        <v>1908.97</v>
      </c>
      <c r="J130" s="144">
        <f>ROUND(I130*H130,2)</f>
        <v>3817.94</v>
      </c>
      <c r="K130" s="140" t="s">
        <v>190</v>
      </c>
      <c r="L130" s="33"/>
      <c r="M130" s="145" t="s">
        <v>1</v>
      </c>
      <c r="N130" s="146" t="s">
        <v>47</v>
      </c>
      <c r="O130" s="147">
        <v>0.54900000000000004</v>
      </c>
      <c r="P130" s="147">
        <f>O130*H130</f>
        <v>1.0980000000000001</v>
      </c>
      <c r="Q130" s="147">
        <v>0.11276</v>
      </c>
      <c r="R130" s="147">
        <f>Q130*H130</f>
        <v>0.22552</v>
      </c>
      <c r="S130" s="147">
        <v>0</v>
      </c>
      <c r="T130" s="148">
        <f>S130*H130</f>
        <v>0</v>
      </c>
      <c r="AR130" s="149" t="s">
        <v>191</v>
      </c>
      <c r="AT130" s="149" t="s">
        <v>186</v>
      </c>
      <c r="AU130" s="149" t="s">
        <v>20</v>
      </c>
      <c r="AY130" s="18" t="s">
        <v>184</v>
      </c>
      <c r="BE130" s="150">
        <f>IF(N130="základní",J130,0)</f>
        <v>3817.94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8" t="s">
        <v>88</v>
      </c>
      <c r="BK130" s="150">
        <f>ROUND(I130*H130,2)</f>
        <v>3817.94</v>
      </c>
      <c r="BL130" s="18" t="s">
        <v>191</v>
      </c>
      <c r="BM130" s="149" t="s">
        <v>1720</v>
      </c>
    </row>
    <row r="131" spans="2:65" s="1" customFormat="1" x14ac:dyDescent="0.3">
      <c r="B131" s="33"/>
      <c r="D131" s="151" t="s">
        <v>193</v>
      </c>
      <c r="F131" s="152" t="s">
        <v>570</v>
      </c>
      <c r="I131" s="153"/>
      <c r="L131" s="33"/>
      <c r="M131" s="154"/>
      <c r="T131" s="57"/>
      <c r="AT131" s="18" t="s">
        <v>193</v>
      </c>
      <c r="AU131" s="18" t="s">
        <v>20</v>
      </c>
    </row>
    <row r="132" spans="2:65" s="1" customFormat="1" ht="16.5" customHeight="1" x14ac:dyDescent="0.3">
      <c r="B132" s="33"/>
      <c r="C132" s="172" t="s">
        <v>7</v>
      </c>
      <c r="D132" s="172" t="s">
        <v>271</v>
      </c>
      <c r="E132" s="173" t="s">
        <v>572</v>
      </c>
      <c r="F132" s="174" t="s">
        <v>573</v>
      </c>
      <c r="G132" s="175" t="s">
        <v>557</v>
      </c>
      <c r="H132" s="176">
        <v>2</v>
      </c>
      <c r="I132" s="177">
        <v>1374.46</v>
      </c>
      <c r="J132" s="178">
        <f>ROUND(I132*H132,2)</f>
        <v>2748.92</v>
      </c>
      <c r="K132" s="174" t="s">
        <v>190</v>
      </c>
      <c r="L132" s="179"/>
      <c r="M132" s="180" t="s">
        <v>1</v>
      </c>
      <c r="N132" s="181" t="s">
        <v>47</v>
      </c>
      <c r="O132" s="147">
        <v>0</v>
      </c>
      <c r="P132" s="147">
        <f>O132*H132</f>
        <v>0</v>
      </c>
      <c r="Q132" s="147">
        <v>6.4999999999999997E-3</v>
      </c>
      <c r="R132" s="147">
        <f>Q132*H132</f>
        <v>1.2999999999999999E-2</v>
      </c>
      <c r="S132" s="147">
        <v>0</v>
      </c>
      <c r="T132" s="148">
        <f>S132*H132</f>
        <v>0</v>
      </c>
      <c r="AR132" s="149" t="s">
        <v>239</v>
      </c>
      <c r="AT132" s="149" t="s">
        <v>271</v>
      </c>
      <c r="AU132" s="149" t="s">
        <v>20</v>
      </c>
      <c r="AY132" s="18" t="s">
        <v>184</v>
      </c>
      <c r="BE132" s="150">
        <f>IF(N132="základní",J132,0)</f>
        <v>2748.92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8" t="s">
        <v>88</v>
      </c>
      <c r="BK132" s="150">
        <f>ROUND(I132*H132,2)</f>
        <v>2748.92</v>
      </c>
      <c r="BL132" s="18" t="s">
        <v>191</v>
      </c>
      <c r="BM132" s="149" t="s">
        <v>1721</v>
      </c>
    </row>
    <row r="133" spans="2:65" s="1" customFormat="1" ht="16.5" customHeight="1" x14ac:dyDescent="0.3">
      <c r="B133" s="33"/>
      <c r="C133" s="172" t="s">
        <v>287</v>
      </c>
      <c r="D133" s="172" t="s">
        <v>271</v>
      </c>
      <c r="E133" s="173" t="s">
        <v>575</v>
      </c>
      <c r="F133" s="174" t="s">
        <v>576</v>
      </c>
      <c r="G133" s="175" t="s">
        <v>557</v>
      </c>
      <c r="H133" s="176">
        <v>2</v>
      </c>
      <c r="I133" s="177">
        <v>1527.18</v>
      </c>
      <c r="J133" s="178">
        <f>ROUND(I133*H133,2)</f>
        <v>3054.36</v>
      </c>
      <c r="K133" s="174" t="s">
        <v>190</v>
      </c>
      <c r="L133" s="179"/>
      <c r="M133" s="180" t="s">
        <v>1</v>
      </c>
      <c r="N133" s="181" t="s">
        <v>47</v>
      </c>
      <c r="O133" s="147">
        <v>0</v>
      </c>
      <c r="P133" s="147">
        <f>O133*H133</f>
        <v>0</v>
      </c>
      <c r="Q133" s="147">
        <v>3.3E-3</v>
      </c>
      <c r="R133" s="147">
        <f>Q133*H133</f>
        <v>6.6E-3</v>
      </c>
      <c r="S133" s="147">
        <v>0</v>
      </c>
      <c r="T133" s="148">
        <f>S133*H133</f>
        <v>0</v>
      </c>
      <c r="AR133" s="149" t="s">
        <v>239</v>
      </c>
      <c r="AT133" s="149" t="s">
        <v>271</v>
      </c>
      <c r="AU133" s="149" t="s">
        <v>20</v>
      </c>
      <c r="AY133" s="18" t="s">
        <v>184</v>
      </c>
      <c r="BE133" s="150">
        <f>IF(N133="základní",J133,0)</f>
        <v>3054.36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8" t="s">
        <v>88</v>
      </c>
      <c r="BK133" s="150">
        <f>ROUND(I133*H133,2)</f>
        <v>3054.36</v>
      </c>
      <c r="BL133" s="18" t="s">
        <v>191</v>
      </c>
      <c r="BM133" s="149" t="s">
        <v>1722</v>
      </c>
    </row>
    <row r="134" spans="2:65" s="1" customFormat="1" ht="24.2" customHeight="1" x14ac:dyDescent="0.3">
      <c r="B134" s="33"/>
      <c r="C134" s="138" t="s">
        <v>293</v>
      </c>
      <c r="D134" s="138" t="s">
        <v>186</v>
      </c>
      <c r="E134" s="139" t="s">
        <v>306</v>
      </c>
      <c r="F134" s="140" t="s">
        <v>1669</v>
      </c>
      <c r="G134" s="141" t="s">
        <v>210</v>
      </c>
      <c r="H134" s="142">
        <v>392.98</v>
      </c>
      <c r="I134" s="143">
        <v>690.56</v>
      </c>
      <c r="J134" s="144">
        <f>ROUND(I134*H134,2)</f>
        <v>271376.27</v>
      </c>
      <c r="K134" s="140" t="s">
        <v>190</v>
      </c>
      <c r="L134" s="33"/>
      <c r="M134" s="145" t="s">
        <v>1</v>
      </c>
      <c r="N134" s="146" t="s">
        <v>47</v>
      </c>
      <c r="O134" s="147">
        <v>0.26800000000000002</v>
      </c>
      <c r="P134" s="147">
        <f>O134*H134</f>
        <v>105.31864000000002</v>
      </c>
      <c r="Q134" s="147">
        <v>0.15540000000000001</v>
      </c>
      <c r="R134" s="147">
        <f>Q134*H134</f>
        <v>61.069092000000005</v>
      </c>
      <c r="S134" s="147">
        <v>0</v>
      </c>
      <c r="T134" s="148">
        <f>S134*H134</f>
        <v>0</v>
      </c>
      <c r="AR134" s="149" t="s">
        <v>191</v>
      </c>
      <c r="AT134" s="149" t="s">
        <v>186</v>
      </c>
      <c r="AU134" s="149" t="s">
        <v>20</v>
      </c>
      <c r="AY134" s="18" t="s">
        <v>184</v>
      </c>
      <c r="BE134" s="150">
        <f>IF(N134="základní",J134,0)</f>
        <v>271376.27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8" t="s">
        <v>88</v>
      </c>
      <c r="BK134" s="150">
        <f>ROUND(I134*H134,2)</f>
        <v>271376.27</v>
      </c>
      <c r="BL134" s="18" t="s">
        <v>191</v>
      </c>
      <c r="BM134" s="149" t="s">
        <v>1723</v>
      </c>
    </row>
    <row r="135" spans="2:65" s="1" customFormat="1" x14ac:dyDescent="0.3">
      <c r="B135" s="33"/>
      <c r="D135" s="151" t="s">
        <v>193</v>
      </c>
      <c r="F135" s="152" t="s">
        <v>309</v>
      </c>
      <c r="I135" s="153"/>
      <c r="L135" s="33"/>
      <c r="M135" s="154"/>
      <c r="T135" s="57"/>
      <c r="AT135" s="18" t="s">
        <v>193</v>
      </c>
      <c r="AU135" s="18" t="s">
        <v>20</v>
      </c>
    </row>
    <row r="136" spans="2:65" s="12" customFormat="1" ht="11.25" x14ac:dyDescent="0.3">
      <c r="B136" s="155"/>
      <c r="D136" s="156" t="s">
        <v>195</v>
      </c>
      <c r="E136" s="157" t="s">
        <v>1</v>
      </c>
      <c r="F136" s="158" t="s">
        <v>1724</v>
      </c>
      <c r="H136" s="159">
        <v>392.98</v>
      </c>
      <c r="I136" s="160"/>
      <c r="L136" s="155"/>
      <c r="M136" s="161"/>
      <c r="T136" s="162"/>
      <c r="AT136" s="157" t="s">
        <v>195</v>
      </c>
      <c r="AU136" s="157" t="s">
        <v>20</v>
      </c>
      <c r="AV136" s="12" t="s">
        <v>20</v>
      </c>
      <c r="AW136" s="12" t="s">
        <v>37</v>
      </c>
      <c r="AX136" s="12" t="s">
        <v>88</v>
      </c>
      <c r="AY136" s="157" t="s">
        <v>184</v>
      </c>
    </row>
    <row r="137" spans="2:65" s="1" customFormat="1" ht="16.5" customHeight="1" x14ac:dyDescent="0.3">
      <c r="B137" s="33"/>
      <c r="C137" s="172" t="s">
        <v>299</v>
      </c>
      <c r="D137" s="172" t="s">
        <v>271</v>
      </c>
      <c r="E137" s="173" t="s">
        <v>312</v>
      </c>
      <c r="F137" s="174" t="s">
        <v>313</v>
      </c>
      <c r="G137" s="175" t="s">
        <v>210</v>
      </c>
      <c r="H137" s="176">
        <v>116.48399999999999</v>
      </c>
      <c r="I137" s="177">
        <v>182.84</v>
      </c>
      <c r="J137" s="178">
        <f>ROUND(I137*H137,2)</f>
        <v>21297.93</v>
      </c>
      <c r="K137" s="174" t="s">
        <v>190</v>
      </c>
      <c r="L137" s="179"/>
      <c r="M137" s="180" t="s">
        <v>1</v>
      </c>
      <c r="N137" s="181" t="s">
        <v>47</v>
      </c>
      <c r="O137" s="147">
        <v>0</v>
      </c>
      <c r="P137" s="147">
        <f>O137*H137</f>
        <v>0</v>
      </c>
      <c r="Q137" s="147">
        <v>0.08</v>
      </c>
      <c r="R137" s="147">
        <f>Q137*H137</f>
        <v>9.318719999999999</v>
      </c>
      <c r="S137" s="147">
        <v>0</v>
      </c>
      <c r="T137" s="148">
        <f>S137*H137</f>
        <v>0</v>
      </c>
      <c r="AR137" s="149" t="s">
        <v>239</v>
      </c>
      <c r="AT137" s="149" t="s">
        <v>271</v>
      </c>
      <c r="AU137" s="149" t="s">
        <v>20</v>
      </c>
      <c r="AY137" s="18" t="s">
        <v>184</v>
      </c>
      <c r="BE137" s="150">
        <f>IF(N137="základní",J137,0)</f>
        <v>21297.93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8" t="s">
        <v>88</v>
      </c>
      <c r="BK137" s="150">
        <f>ROUND(I137*H137,2)</f>
        <v>21297.93</v>
      </c>
      <c r="BL137" s="18" t="s">
        <v>191</v>
      </c>
      <c r="BM137" s="149" t="s">
        <v>1725</v>
      </c>
    </row>
    <row r="138" spans="2:65" s="12" customFormat="1" ht="11.25" x14ac:dyDescent="0.3">
      <c r="B138" s="155"/>
      <c r="D138" s="156" t="s">
        <v>195</v>
      </c>
      <c r="E138" s="157" t="s">
        <v>1</v>
      </c>
      <c r="F138" s="158" t="s">
        <v>1726</v>
      </c>
      <c r="H138" s="159">
        <v>47.02</v>
      </c>
      <c r="I138" s="160"/>
      <c r="L138" s="155"/>
      <c r="M138" s="161"/>
      <c r="T138" s="162"/>
      <c r="AT138" s="157" t="s">
        <v>195</v>
      </c>
      <c r="AU138" s="157" t="s">
        <v>20</v>
      </c>
      <c r="AV138" s="12" t="s">
        <v>20</v>
      </c>
      <c r="AW138" s="12" t="s">
        <v>37</v>
      </c>
      <c r="AX138" s="12" t="s">
        <v>81</v>
      </c>
      <c r="AY138" s="157" t="s">
        <v>184</v>
      </c>
    </row>
    <row r="139" spans="2:65" s="12" customFormat="1" ht="11.25" x14ac:dyDescent="0.3">
      <c r="B139" s="155"/>
      <c r="D139" s="156" t="s">
        <v>195</v>
      </c>
      <c r="E139" s="157" t="s">
        <v>1</v>
      </c>
      <c r="F139" s="158" t="s">
        <v>1727</v>
      </c>
      <c r="H139" s="159">
        <v>67.180000000000007</v>
      </c>
      <c r="I139" s="160"/>
      <c r="L139" s="155"/>
      <c r="M139" s="161"/>
      <c r="T139" s="162"/>
      <c r="AT139" s="157" t="s">
        <v>195</v>
      </c>
      <c r="AU139" s="157" t="s">
        <v>20</v>
      </c>
      <c r="AV139" s="12" t="s">
        <v>20</v>
      </c>
      <c r="AW139" s="12" t="s">
        <v>37</v>
      </c>
      <c r="AX139" s="12" t="s">
        <v>81</v>
      </c>
      <c r="AY139" s="157" t="s">
        <v>184</v>
      </c>
    </row>
    <row r="140" spans="2:65" s="13" customFormat="1" ht="11.25" x14ac:dyDescent="0.3">
      <c r="B140" s="163"/>
      <c r="D140" s="156" t="s">
        <v>195</v>
      </c>
      <c r="E140" s="164" t="s">
        <v>1</v>
      </c>
      <c r="F140" s="165" t="s">
        <v>230</v>
      </c>
      <c r="H140" s="166">
        <v>114.2</v>
      </c>
      <c r="I140" s="167"/>
      <c r="L140" s="163"/>
      <c r="M140" s="168"/>
      <c r="T140" s="169"/>
      <c r="AT140" s="164" t="s">
        <v>195</v>
      </c>
      <c r="AU140" s="164" t="s">
        <v>20</v>
      </c>
      <c r="AV140" s="13" t="s">
        <v>191</v>
      </c>
      <c r="AW140" s="13" t="s">
        <v>37</v>
      </c>
      <c r="AX140" s="13" t="s">
        <v>81</v>
      </c>
      <c r="AY140" s="164" t="s">
        <v>184</v>
      </c>
    </row>
    <row r="141" spans="2:65" s="12" customFormat="1" ht="11.25" x14ac:dyDescent="0.3">
      <c r="B141" s="155"/>
      <c r="D141" s="156" t="s">
        <v>195</v>
      </c>
      <c r="E141" s="157" t="s">
        <v>1</v>
      </c>
      <c r="F141" s="158" t="s">
        <v>1728</v>
      </c>
      <c r="H141" s="159">
        <v>116.48399999999999</v>
      </c>
      <c r="I141" s="160"/>
      <c r="L141" s="155"/>
      <c r="M141" s="161"/>
      <c r="T141" s="162"/>
      <c r="AT141" s="157" t="s">
        <v>195</v>
      </c>
      <c r="AU141" s="157" t="s">
        <v>20</v>
      </c>
      <c r="AV141" s="12" t="s">
        <v>20</v>
      </c>
      <c r="AW141" s="12" t="s">
        <v>37</v>
      </c>
      <c r="AX141" s="12" t="s">
        <v>88</v>
      </c>
      <c r="AY141" s="157" t="s">
        <v>184</v>
      </c>
    </row>
    <row r="142" spans="2:65" s="1" customFormat="1" ht="16.5" customHeight="1" x14ac:dyDescent="0.3">
      <c r="B142" s="33"/>
      <c r="C142" s="172" t="s">
        <v>305</v>
      </c>
      <c r="D142" s="172" t="s">
        <v>271</v>
      </c>
      <c r="E142" s="173" t="s">
        <v>317</v>
      </c>
      <c r="F142" s="174" t="s">
        <v>318</v>
      </c>
      <c r="G142" s="175" t="s">
        <v>210</v>
      </c>
      <c r="H142" s="176">
        <v>55.243000000000002</v>
      </c>
      <c r="I142" s="177">
        <v>228.36</v>
      </c>
      <c r="J142" s="178">
        <f>ROUND(I142*H142,2)</f>
        <v>12615.29</v>
      </c>
      <c r="K142" s="174" t="s">
        <v>190</v>
      </c>
      <c r="L142" s="179"/>
      <c r="M142" s="180" t="s">
        <v>1</v>
      </c>
      <c r="N142" s="181" t="s">
        <v>47</v>
      </c>
      <c r="O142" s="147">
        <v>0</v>
      </c>
      <c r="P142" s="147">
        <f>O142*H142</f>
        <v>0</v>
      </c>
      <c r="Q142" s="147">
        <v>0.04</v>
      </c>
      <c r="R142" s="147">
        <f>Q142*H142</f>
        <v>2.2097200000000004</v>
      </c>
      <c r="S142" s="147">
        <v>0</v>
      </c>
      <c r="T142" s="148">
        <f>S142*H142</f>
        <v>0</v>
      </c>
      <c r="AR142" s="149" t="s">
        <v>239</v>
      </c>
      <c r="AT142" s="149" t="s">
        <v>271</v>
      </c>
      <c r="AU142" s="149" t="s">
        <v>20</v>
      </c>
      <c r="AY142" s="18" t="s">
        <v>184</v>
      </c>
      <c r="BE142" s="150">
        <f>IF(N142="základní",J142,0)</f>
        <v>12615.29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8" t="s">
        <v>88</v>
      </c>
      <c r="BK142" s="150">
        <f>ROUND(I142*H142,2)</f>
        <v>12615.29</v>
      </c>
      <c r="BL142" s="18" t="s">
        <v>191</v>
      </c>
      <c r="BM142" s="149" t="s">
        <v>1729</v>
      </c>
    </row>
    <row r="143" spans="2:65" s="12" customFormat="1" ht="11.25" x14ac:dyDescent="0.3">
      <c r="B143" s="155"/>
      <c r="D143" s="156" t="s">
        <v>195</v>
      </c>
      <c r="E143" s="157" t="s">
        <v>1</v>
      </c>
      <c r="F143" s="158" t="s">
        <v>1730</v>
      </c>
      <c r="H143" s="159">
        <v>18.829999999999998</v>
      </c>
      <c r="I143" s="160"/>
      <c r="L143" s="155"/>
      <c r="M143" s="161"/>
      <c r="T143" s="162"/>
      <c r="AT143" s="157" t="s">
        <v>195</v>
      </c>
      <c r="AU143" s="157" t="s">
        <v>20</v>
      </c>
      <c r="AV143" s="12" t="s">
        <v>20</v>
      </c>
      <c r="AW143" s="12" t="s">
        <v>37</v>
      </c>
      <c r="AX143" s="12" t="s">
        <v>81</v>
      </c>
      <c r="AY143" s="157" t="s">
        <v>184</v>
      </c>
    </row>
    <row r="144" spans="2:65" s="12" customFormat="1" ht="11.25" x14ac:dyDescent="0.3">
      <c r="B144" s="155"/>
      <c r="D144" s="156" t="s">
        <v>195</v>
      </c>
      <c r="E144" s="157" t="s">
        <v>1</v>
      </c>
      <c r="F144" s="158" t="s">
        <v>1731</v>
      </c>
      <c r="H144" s="159">
        <v>7.45</v>
      </c>
      <c r="I144" s="160"/>
      <c r="L144" s="155"/>
      <c r="M144" s="161"/>
      <c r="T144" s="162"/>
      <c r="AT144" s="157" t="s">
        <v>195</v>
      </c>
      <c r="AU144" s="157" t="s">
        <v>20</v>
      </c>
      <c r="AV144" s="12" t="s">
        <v>20</v>
      </c>
      <c r="AW144" s="12" t="s">
        <v>37</v>
      </c>
      <c r="AX144" s="12" t="s">
        <v>81</v>
      </c>
      <c r="AY144" s="157" t="s">
        <v>184</v>
      </c>
    </row>
    <row r="145" spans="2:65" s="12" customFormat="1" ht="11.25" x14ac:dyDescent="0.3">
      <c r="B145" s="155"/>
      <c r="D145" s="156" t="s">
        <v>195</v>
      </c>
      <c r="E145" s="157" t="s">
        <v>1</v>
      </c>
      <c r="F145" s="158" t="s">
        <v>1732</v>
      </c>
      <c r="H145" s="159">
        <v>12.46</v>
      </c>
      <c r="I145" s="160"/>
      <c r="L145" s="155"/>
      <c r="M145" s="161"/>
      <c r="T145" s="162"/>
      <c r="AT145" s="157" t="s">
        <v>195</v>
      </c>
      <c r="AU145" s="157" t="s">
        <v>20</v>
      </c>
      <c r="AV145" s="12" t="s">
        <v>20</v>
      </c>
      <c r="AW145" s="12" t="s">
        <v>37</v>
      </c>
      <c r="AX145" s="12" t="s">
        <v>81</v>
      </c>
      <c r="AY145" s="157" t="s">
        <v>184</v>
      </c>
    </row>
    <row r="146" spans="2:65" s="12" customFormat="1" ht="11.25" x14ac:dyDescent="0.3">
      <c r="B146" s="155"/>
      <c r="D146" s="156" t="s">
        <v>195</v>
      </c>
      <c r="E146" s="157" t="s">
        <v>1</v>
      </c>
      <c r="F146" s="158" t="s">
        <v>1733</v>
      </c>
      <c r="H146" s="159">
        <v>15.42</v>
      </c>
      <c r="I146" s="160"/>
      <c r="L146" s="155"/>
      <c r="M146" s="161"/>
      <c r="T146" s="162"/>
      <c r="AT146" s="157" t="s">
        <v>195</v>
      </c>
      <c r="AU146" s="157" t="s">
        <v>20</v>
      </c>
      <c r="AV146" s="12" t="s">
        <v>20</v>
      </c>
      <c r="AW146" s="12" t="s">
        <v>37</v>
      </c>
      <c r="AX146" s="12" t="s">
        <v>81</v>
      </c>
      <c r="AY146" s="157" t="s">
        <v>184</v>
      </c>
    </row>
    <row r="147" spans="2:65" s="13" customFormat="1" ht="11.25" x14ac:dyDescent="0.3">
      <c r="B147" s="163"/>
      <c r="D147" s="156" t="s">
        <v>195</v>
      </c>
      <c r="E147" s="164" t="s">
        <v>1</v>
      </c>
      <c r="F147" s="165" t="s">
        <v>230</v>
      </c>
      <c r="H147" s="166">
        <v>54.16</v>
      </c>
      <c r="I147" s="167"/>
      <c r="L147" s="163"/>
      <c r="M147" s="168"/>
      <c r="T147" s="169"/>
      <c r="AT147" s="164" t="s">
        <v>195</v>
      </c>
      <c r="AU147" s="164" t="s">
        <v>20</v>
      </c>
      <c r="AV147" s="13" t="s">
        <v>191</v>
      </c>
      <c r="AW147" s="13" t="s">
        <v>37</v>
      </c>
      <c r="AX147" s="13" t="s">
        <v>81</v>
      </c>
      <c r="AY147" s="164" t="s">
        <v>184</v>
      </c>
    </row>
    <row r="148" spans="2:65" s="12" customFormat="1" ht="11.25" x14ac:dyDescent="0.3">
      <c r="B148" s="155"/>
      <c r="D148" s="156" t="s">
        <v>195</v>
      </c>
      <c r="E148" s="157" t="s">
        <v>1</v>
      </c>
      <c r="F148" s="158" t="s">
        <v>1734</v>
      </c>
      <c r="H148" s="159">
        <v>55.243000000000002</v>
      </c>
      <c r="I148" s="160"/>
      <c r="L148" s="155"/>
      <c r="M148" s="161"/>
      <c r="T148" s="162"/>
      <c r="AT148" s="157" t="s">
        <v>195</v>
      </c>
      <c r="AU148" s="157" t="s">
        <v>20</v>
      </c>
      <c r="AV148" s="12" t="s">
        <v>20</v>
      </c>
      <c r="AW148" s="12" t="s">
        <v>37</v>
      </c>
      <c r="AX148" s="12" t="s">
        <v>88</v>
      </c>
      <c r="AY148" s="157" t="s">
        <v>184</v>
      </c>
    </row>
    <row r="149" spans="2:65" s="1" customFormat="1" ht="16.5" customHeight="1" x14ac:dyDescent="0.3">
      <c r="B149" s="33"/>
      <c r="C149" s="172" t="s">
        <v>311</v>
      </c>
      <c r="D149" s="172" t="s">
        <v>271</v>
      </c>
      <c r="E149" s="173" t="s">
        <v>323</v>
      </c>
      <c r="F149" s="174" t="s">
        <v>324</v>
      </c>
      <c r="G149" s="175" t="s">
        <v>210</v>
      </c>
      <c r="H149" s="176">
        <v>175.10300000000001</v>
      </c>
      <c r="I149" s="177">
        <v>143.6</v>
      </c>
      <c r="J149" s="178">
        <f>ROUND(I149*H149,2)</f>
        <v>25144.79</v>
      </c>
      <c r="K149" s="174" t="s">
        <v>190</v>
      </c>
      <c r="L149" s="179"/>
      <c r="M149" s="180" t="s">
        <v>1</v>
      </c>
      <c r="N149" s="181" t="s">
        <v>47</v>
      </c>
      <c r="O149" s="147">
        <v>0</v>
      </c>
      <c r="P149" s="147">
        <f>O149*H149</f>
        <v>0</v>
      </c>
      <c r="Q149" s="147">
        <v>4.8300000000000003E-2</v>
      </c>
      <c r="R149" s="147">
        <f>Q149*H149</f>
        <v>8.4574749000000011</v>
      </c>
      <c r="S149" s="147">
        <v>0</v>
      </c>
      <c r="T149" s="148">
        <f>S149*H149</f>
        <v>0</v>
      </c>
      <c r="AR149" s="149" t="s">
        <v>239</v>
      </c>
      <c r="AT149" s="149" t="s">
        <v>271</v>
      </c>
      <c r="AU149" s="149" t="s">
        <v>20</v>
      </c>
      <c r="AY149" s="18" t="s">
        <v>184</v>
      </c>
      <c r="BE149" s="150">
        <f>IF(N149="základní",J149,0)</f>
        <v>25144.79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8" t="s">
        <v>88</v>
      </c>
      <c r="BK149" s="150">
        <f>ROUND(I149*H149,2)</f>
        <v>25144.79</v>
      </c>
      <c r="BL149" s="18" t="s">
        <v>191</v>
      </c>
      <c r="BM149" s="149" t="s">
        <v>1735</v>
      </c>
    </row>
    <row r="150" spans="2:65" s="12" customFormat="1" ht="11.25" x14ac:dyDescent="0.3">
      <c r="B150" s="155"/>
      <c r="D150" s="156" t="s">
        <v>195</v>
      </c>
      <c r="E150" s="157" t="s">
        <v>1</v>
      </c>
      <c r="F150" s="158" t="s">
        <v>1736</v>
      </c>
      <c r="H150" s="159">
        <v>125.79</v>
      </c>
      <c r="I150" s="160"/>
      <c r="L150" s="155"/>
      <c r="M150" s="161"/>
      <c r="T150" s="162"/>
      <c r="AT150" s="157" t="s">
        <v>195</v>
      </c>
      <c r="AU150" s="157" t="s">
        <v>20</v>
      </c>
      <c r="AV150" s="12" t="s">
        <v>20</v>
      </c>
      <c r="AW150" s="12" t="s">
        <v>37</v>
      </c>
      <c r="AX150" s="12" t="s">
        <v>81</v>
      </c>
      <c r="AY150" s="157" t="s">
        <v>184</v>
      </c>
    </row>
    <row r="151" spans="2:65" s="12" customFormat="1" ht="11.25" x14ac:dyDescent="0.3">
      <c r="B151" s="155"/>
      <c r="D151" s="156" t="s">
        <v>195</v>
      </c>
      <c r="E151" s="157" t="s">
        <v>1</v>
      </c>
      <c r="F151" s="158" t="s">
        <v>1737</v>
      </c>
      <c r="H151" s="159">
        <v>45.88</v>
      </c>
      <c r="I151" s="160"/>
      <c r="L151" s="155"/>
      <c r="M151" s="161"/>
      <c r="T151" s="162"/>
      <c r="AT151" s="157" t="s">
        <v>195</v>
      </c>
      <c r="AU151" s="157" t="s">
        <v>20</v>
      </c>
      <c r="AV151" s="12" t="s">
        <v>20</v>
      </c>
      <c r="AW151" s="12" t="s">
        <v>37</v>
      </c>
      <c r="AX151" s="12" t="s">
        <v>81</v>
      </c>
      <c r="AY151" s="157" t="s">
        <v>184</v>
      </c>
    </row>
    <row r="152" spans="2:65" s="13" customFormat="1" ht="11.25" x14ac:dyDescent="0.3">
      <c r="B152" s="163"/>
      <c r="D152" s="156" t="s">
        <v>195</v>
      </c>
      <c r="E152" s="164" t="s">
        <v>1</v>
      </c>
      <c r="F152" s="165" t="s">
        <v>230</v>
      </c>
      <c r="H152" s="166">
        <v>171.67</v>
      </c>
      <c r="I152" s="167"/>
      <c r="L152" s="163"/>
      <c r="M152" s="168"/>
      <c r="T152" s="169"/>
      <c r="AT152" s="164" t="s">
        <v>195</v>
      </c>
      <c r="AU152" s="164" t="s">
        <v>20</v>
      </c>
      <c r="AV152" s="13" t="s">
        <v>191</v>
      </c>
      <c r="AW152" s="13" t="s">
        <v>37</v>
      </c>
      <c r="AX152" s="13" t="s">
        <v>81</v>
      </c>
      <c r="AY152" s="164" t="s">
        <v>184</v>
      </c>
    </row>
    <row r="153" spans="2:65" s="12" customFormat="1" ht="11.25" x14ac:dyDescent="0.3">
      <c r="B153" s="155"/>
      <c r="D153" s="156" t="s">
        <v>195</v>
      </c>
      <c r="E153" s="157" t="s">
        <v>1</v>
      </c>
      <c r="F153" s="158" t="s">
        <v>1738</v>
      </c>
      <c r="H153" s="159">
        <v>175.10300000000001</v>
      </c>
      <c r="I153" s="160"/>
      <c r="L153" s="155"/>
      <c r="M153" s="161"/>
      <c r="T153" s="162"/>
      <c r="AT153" s="157" t="s">
        <v>195</v>
      </c>
      <c r="AU153" s="157" t="s">
        <v>20</v>
      </c>
      <c r="AV153" s="12" t="s">
        <v>20</v>
      </c>
      <c r="AW153" s="12" t="s">
        <v>37</v>
      </c>
      <c r="AX153" s="12" t="s">
        <v>88</v>
      </c>
      <c r="AY153" s="157" t="s">
        <v>184</v>
      </c>
    </row>
    <row r="154" spans="2:65" s="1" customFormat="1" ht="16.5" customHeight="1" x14ac:dyDescent="0.3">
      <c r="B154" s="33"/>
      <c r="C154" s="172" t="s">
        <v>6</v>
      </c>
      <c r="D154" s="172" t="s">
        <v>271</v>
      </c>
      <c r="E154" s="173" t="s">
        <v>609</v>
      </c>
      <c r="F154" s="174" t="s">
        <v>610</v>
      </c>
      <c r="G154" s="175" t="s">
        <v>210</v>
      </c>
      <c r="H154" s="176">
        <v>19.329000000000001</v>
      </c>
      <c r="I154" s="177">
        <v>280.14999999999998</v>
      </c>
      <c r="J154" s="178">
        <f>ROUND(I154*H154,2)</f>
        <v>5415.02</v>
      </c>
      <c r="K154" s="174" t="s">
        <v>190</v>
      </c>
      <c r="L154" s="179"/>
      <c r="M154" s="180" t="s">
        <v>1</v>
      </c>
      <c r="N154" s="181" t="s">
        <v>47</v>
      </c>
      <c r="O154" s="147">
        <v>0</v>
      </c>
      <c r="P154" s="147">
        <f>O154*H154</f>
        <v>0</v>
      </c>
      <c r="Q154" s="147">
        <v>4.8399999999999999E-2</v>
      </c>
      <c r="R154" s="147">
        <f>Q154*H154</f>
        <v>0.93552360000000001</v>
      </c>
      <c r="S154" s="147">
        <v>0</v>
      </c>
      <c r="T154" s="148">
        <f>S154*H154</f>
        <v>0</v>
      </c>
      <c r="AR154" s="149" t="s">
        <v>239</v>
      </c>
      <c r="AT154" s="149" t="s">
        <v>271</v>
      </c>
      <c r="AU154" s="149" t="s">
        <v>20</v>
      </c>
      <c r="AY154" s="18" t="s">
        <v>184</v>
      </c>
      <c r="BE154" s="150">
        <f>IF(N154="základní",J154,0)</f>
        <v>5415.02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88</v>
      </c>
      <c r="BK154" s="150">
        <f>ROUND(I154*H154,2)</f>
        <v>5415.02</v>
      </c>
      <c r="BL154" s="18" t="s">
        <v>191</v>
      </c>
      <c r="BM154" s="149" t="s">
        <v>1739</v>
      </c>
    </row>
    <row r="155" spans="2:65" s="12" customFormat="1" ht="11.25" x14ac:dyDescent="0.3">
      <c r="B155" s="155"/>
      <c r="D155" s="156" t="s">
        <v>195</v>
      </c>
      <c r="E155" s="157" t="s">
        <v>1</v>
      </c>
      <c r="F155" s="158" t="s">
        <v>1740</v>
      </c>
      <c r="H155" s="159">
        <v>5.12</v>
      </c>
      <c r="I155" s="160"/>
      <c r="L155" s="155"/>
      <c r="M155" s="161"/>
      <c r="T155" s="162"/>
      <c r="AT155" s="157" t="s">
        <v>195</v>
      </c>
      <c r="AU155" s="157" t="s">
        <v>20</v>
      </c>
      <c r="AV155" s="12" t="s">
        <v>20</v>
      </c>
      <c r="AW155" s="12" t="s">
        <v>37</v>
      </c>
      <c r="AX155" s="12" t="s">
        <v>81</v>
      </c>
      <c r="AY155" s="157" t="s">
        <v>184</v>
      </c>
    </row>
    <row r="156" spans="2:65" s="12" customFormat="1" ht="11.25" x14ac:dyDescent="0.3">
      <c r="B156" s="155"/>
      <c r="D156" s="156" t="s">
        <v>195</v>
      </c>
      <c r="E156" s="157" t="s">
        <v>1</v>
      </c>
      <c r="F156" s="158" t="s">
        <v>1741</v>
      </c>
      <c r="H156" s="159">
        <v>6.84</v>
      </c>
      <c r="I156" s="160"/>
      <c r="L156" s="155"/>
      <c r="M156" s="161"/>
      <c r="T156" s="162"/>
      <c r="AT156" s="157" t="s">
        <v>195</v>
      </c>
      <c r="AU156" s="157" t="s">
        <v>20</v>
      </c>
      <c r="AV156" s="12" t="s">
        <v>20</v>
      </c>
      <c r="AW156" s="12" t="s">
        <v>37</v>
      </c>
      <c r="AX156" s="12" t="s">
        <v>81</v>
      </c>
      <c r="AY156" s="157" t="s">
        <v>184</v>
      </c>
    </row>
    <row r="157" spans="2:65" s="12" customFormat="1" ht="11.25" x14ac:dyDescent="0.3">
      <c r="B157" s="155"/>
      <c r="D157" s="156" t="s">
        <v>195</v>
      </c>
      <c r="E157" s="157" t="s">
        <v>1</v>
      </c>
      <c r="F157" s="158" t="s">
        <v>1742</v>
      </c>
      <c r="H157" s="159">
        <v>3.95</v>
      </c>
      <c r="I157" s="160"/>
      <c r="L157" s="155"/>
      <c r="M157" s="161"/>
      <c r="T157" s="162"/>
      <c r="AT157" s="157" t="s">
        <v>195</v>
      </c>
      <c r="AU157" s="157" t="s">
        <v>20</v>
      </c>
      <c r="AV157" s="12" t="s">
        <v>20</v>
      </c>
      <c r="AW157" s="12" t="s">
        <v>37</v>
      </c>
      <c r="AX157" s="12" t="s">
        <v>81</v>
      </c>
      <c r="AY157" s="157" t="s">
        <v>184</v>
      </c>
    </row>
    <row r="158" spans="2:65" s="12" customFormat="1" ht="11.25" x14ac:dyDescent="0.3">
      <c r="B158" s="155"/>
      <c r="D158" s="156" t="s">
        <v>195</v>
      </c>
      <c r="E158" s="157" t="s">
        <v>1</v>
      </c>
      <c r="F158" s="158" t="s">
        <v>1743</v>
      </c>
      <c r="H158" s="159">
        <v>3.04</v>
      </c>
      <c r="I158" s="160"/>
      <c r="L158" s="155"/>
      <c r="M158" s="161"/>
      <c r="T158" s="162"/>
      <c r="AT158" s="157" t="s">
        <v>195</v>
      </c>
      <c r="AU158" s="157" t="s">
        <v>20</v>
      </c>
      <c r="AV158" s="12" t="s">
        <v>20</v>
      </c>
      <c r="AW158" s="12" t="s">
        <v>37</v>
      </c>
      <c r="AX158" s="12" t="s">
        <v>81</v>
      </c>
      <c r="AY158" s="157" t="s">
        <v>184</v>
      </c>
    </row>
    <row r="159" spans="2:65" s="13" customFormat="1" ht="11.25" x14ac:dyDescent="0.3">
      <c r="B159" s="163"/>
      <c r="D159" s="156" t="s">
        <v>195</v>
      </c>
      <c r="E159" s="164" t="s">
        <v>1</v>
      </c>
      <c r="F159" s="165" t="s">
        <v>230</v>
      </c>
      <c r="H159" s="166">
        <v>18.95</v>
      </c>
      <c r="I159" s="167"/>
      <c r="L159" s="163"/>
      <c r="M159" s="168"/>
      <c r="T159" s="169"/>
      <c r="AT159" s="164" t="s">
        <v>195</v>
      </c>
      <c r="AU159" s="164" t="s">
        <v>20</v>
      </c>
      <c r="AV159" s="13" t="s">
        <v>191</v>
      </c>
      <c r="AW159" s="13" t="s">
        <v>37</v>
      </c>
      <c r="AX159" s="13" t="s">
        <v>81</v>
      </c>
      <c r="AY159" s="164" t="s">
        <v>184</v>
      </c>
    </row>
    <row r="160" spans="2:65" s="12" customFormat="1" ht="11.25" x14ac:dyDescent="0.3">
      <c r="B160" s="155"/>
      <c r="D160" s="156" t="s">
        <v>195</v>
      </c>
      <c r="E160" s="157" t="s">
        <v>1</v>
      </c>
      <c r="F160" s="158" t="s">
        <v>1744</v>
      </c>
      <c r="H160" s="159">
        <v>19.329000000000001</v>
      </c>
      <c r="I160" s="160"/>
      <c r="L160" s="155"/>
      <c r="M160" s="161"/>
      <c r="T160" s="162"/>
      <c r="AT160" s="157" t="s">
        <v>195</v>
      </c>
      <c r="AU160" s="157" t="s">
        <v>20</v>
      </c>
      <c r="AV160" s="12" t="s">
        <v>20</v>
      </c>
      <c r="AW160" s="12" t="s">
        <v>37</v>
      </c>
      <c r="AX160" s="12" t="s">
        <v>88</v>
      </c>
      <c r="AY160" s="157" t="s">
        <v>184</v>
      </c>
    </row>
    <row r="161" spans="2:65" s="1" customFormat="1" ht="16.5" customHeight="1" x14ac:dyDescent="0.3">
      <c r="B161" s="33"/>
      <c r="C161" s="172" t="s">
        <v>322</v>
      </c>
      <c r="D161" s="172" t="s">
        <v>271</v>
      </c>
      <c r="E161" s="173" t="s">
        <v>329</v>
      </c>
      <c r="F161" s="174" t="s">
        <v>330</v>
      </c>
      <c r="G161" s="175" t="s">
        <v>210</v>
      </c>
      <c r="H161" s="176">
        <v>34.68</v>
      </c>
      <c r="I161" s="177">
        <v>404.13</v>
      </c>
      <c r="J161" s="178">
        <f>ROUND(I161*H161,2)</f>
        <v>14015.23</v>
      </c>
      <c r="K161" s="174" t="s">
        <v>190</v>
      </c>
      <c r="L161" s="179"/>
      <c r="M161" s="180" t="s">
        <v>1</v>
      </c>
      <c r="N161" s="181" t="s">
        <v>47</v>
      </c>
      <c r="O161" s="147">
        <v>0</v>
      </c>
      <c r="P161" s="147">
        <f>O161*H161</f>
        <v>0</v>
      </c>
      <c r="Q161" s="147">
        <v>6.5670000000000006E-2</v>
      </c>
      <c r="R161" s="147">
        <f>Q161*H161</f>
        <v>2.2774356</v>
      </c>
      <c r="S161" s="147">
        <v>0</v>
      </c>
      <c r="T161" s="148">
        <f>S161*H161</f>
        <v>0</v>
      </c>
      <c r="AR161" s="149" t="s">
        <v>239</v>
      </c>
      <c r="AT161" s="149" t="s">
        <v>271</v>
      </c>
      <c r="AU161" s="149" t="s">
        <v>20</v>
      </c>
      <c r="AY161" s="18" t="s">
        <v>184</v>
      </c>
      <c r="BE161" s="150">
        <f>IF(N161="základní",J161,0)</f>
        <v>14015.23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8" t="s">
        <v>88</v>
      </c>
      <c r="BK161" s="150">
        <f>ROUND(I161*H161,2)</f>
        <v>14015.23</v>
      </c>
      <c r="BL161" s="18" t="s">
        <v>191</v>
      </c>
      <c r="BM161" s="149" t="s">
        <v>1745</v>
      </c>
    </row>
    <row r="162" spans="2:65" s="12" customFormat="1" ht="11.25" x14ac:dyDescent="0.3">
      <c r="B162" s="155"/>
      <c r="D162" s="156" t="s">
        <v>195</v>
      </c>
      <c r="E162" s="157" t="s">
        <v>1</v>
      </c>
      <c r="F162" s="158" t="s">
        <v>1746</v>
      </c>
      <c r="H162" s="159">
        <v>34</v>
      </c>
      <c r="I162" s="160"/>
      <c r="L162" s="155"/>
      <c r="M162" s="161"/>
      <c r="T162" s="162"/>
      <c r="AT162" s="157" t="s">
        <v>195</v>
      </c>
      <c r="AU162" s="157" t="s">
        <v>20</v>
      </c>
      <c r="AV162" s="12" t="s">
        <v>20</v>
      </c>
      <c r="AW162" s="12" t="s">
        <v>37</v>
      </c>
      <c r="AX162" s="12" t="s">
        <v>81</v>
      </c>
      <c r="AY162" s="157" t="s">
        <v>184</v>
      </c>
    </row>
    <row r="163" spans="2:65" s="12" customFormat="1" ht="11.25" x14ac:dyDescent="0.3">
      <c r="B163" s="155"/>
      <c r="D163" s="156" t="s">
        <v>195</v>
      </c>
      <c r="E163" s="157" t="s">
        <v>1</v>
      </c>
      <c r="F163" s="158" t="s">
        <v>1747</v>
      </c>
      <c r="H163" s="159">
        <v>34.68</v>
      </c>
      <c r="I163" s="160"/>
      <c r="L163" s="155"/>
      <c r="M163" s="161"/>
      <c r="T163" s="162"/>
      <c r="AT163" s="157" t="s">
        <v>195</v>
      </c>
      <c r="AU163" s="157" t="s">
        <v>20</v>
      </c>
      <c r="AV163" s="12" t="s">
        <v>20</v>
      </c>
      <c r="AW163" s="12" t="s">
        <v>37</v>
      </c>
      <c r="AX163" s="12" t="s">
        <v>88</v>
      </c>
      <c r="AY163" s="157" t="s">
        <v>184</v>
      </c>
    </row>
    <row r="164" spans="2:65" s="1" customFormat="1" ht="21.75" customHeight="1" x14ac:dyDescent="0.3">
      <c r="B164" s="33"/>
      <c r="C164" s="138" t="s">
        <v>328</v>
      </c>
      <c r="D164" s="138" t="s">
        <v>186</v>
      </c>
      <c r="E164" s="139" t="s">
        <v>478</v>
      </c>
      <c r="F164" s="140" t="s">
        <v>1685</v>
      </c>
      <c r="G164" s="141" t="s">
        <v>189</v>
      </c>
      <c r="H164" s="142">
        <v>1317</v>
      </c>
      <c r="I164" s="143">
        <v>30.54</v>
      </c>
      <c r="J164" s="144">
        <f>ROUND(I164*H164,2)</f>
        <v>40221.18</v>
      </c>
      <c r="K164" s="140" t="s">
        <v>190</v>
      </c>
      <c r="L164" s="33"/>
      <c r="M164" s="145" t="s">
        <v>1</v>
      </c>
      <c r="N164" s="146" t="s">
        <v>47</v>
      </c>
      <c r="O164" s="147">
        <v>1.2999999999999999E-2</v>
      </c>
      <c r="P164" s="147">
        <f>O164*H164</f>
        <v>17.120999999999999</v>
      </c>
      <c r="Q164" s="147">
        <v>0</v>
      </c>
      <c r="R164" s="147">
        <f>Q164*H164</f>
        <v>0</v>
      </c>
      <c r="S164" s="147">
        <v>0.01</v>
      </c>
      <c r="T164" s="148">
        <f>S164*H164</f>
        <v>13.17</v>
      </c>
      <c r="AR164" s="149" t="s">
        <v>191</v>
      </c>
      <c r="AT164" s="149" t="s">
        <v>186</v>
      </c>
      <c r="AU164" s="149" t="s">
        <v>20</v>
      </c>
      <c r="AY164" s="18" t="s">
        <v>184</v>
      </c>
      <c r="BE164" s="150">
        <f>IF(N164="základní",J164,0)</f>
        <v>40221.18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8" t="s">
        <v>88</v>
      </c>
      <c r="BK164" s="150">
        <f>ROUND(I164*H164,2)</f>
        <v>40221.18</v>
      </c>
      <c r="BL164" s="18" t="s">
        <v>191</v>
      </c>
      <c r="BM164" s="149" t="s">
        <v>1748</v>
      </c>
    </row>
    <row r="165" spans="2:65" s="1" customFormat="1" x14ac:dyDescent="0.3">
      <c r="B165" s="33"/>
      <c r="D165" s="151" t="s">
        <v>193</v>
      </c>
      <c r="F165" s="152" t="s">
        <v>481</v>
      </c>
      <c r="I165" s="153"/>
      <c r="L165" s="33"/>
      <c r="M165" s="154"/>
      <c r="T165" s="57"/>
      <c r="AT165" s="18" t="s">
        <v>193</v>
      </c>
      <c r="AU165" s="18" t="s">
        <v>20</v>
      </c>
    </row>
    <row r="166" spans="2:65" s="1" customFormat="1" ht="33" customHeight="1" x14ac:dyDescent="0.3">
      <c r="B166" s="33"/>
      <c r="C166" s="138" t="s">
        <v>334</v>
      </c>
      <c r="D166" s="138" t="s">
        <v>186</v>
      </c>
      <c r="E166" s="139" t="s">
        <v>482</v>
      </c>
      <c r="F166" s="140" t="s">
        <v>1687</v>
      </c>
      <c r="G166" s="141" t="s">
        <v>189</v>
      </c>
      <c r="H166" s="142">
        <v>1317</v>
      </c>
      <c r="I166" s="143">
        <v>6.11</v>
      </c>
      <c r="J166" s="144">
        <f>ROUND(I166*H166,2)</f>
        <v>8046.87</v>
      </c>
      <c r="K166" s="140" t="s">
        <v>190</v>
      </c>
      <c r="L166" s="33"/>
      <c r="M166" s="145" t="s">
        <v>1</v>
      </c>
      <c r="N166" s="146" t="s">
        <v>47</v>
      </c>
      <c r="O166" s="147">
        <v>2E-3</v>
      </c>
      <c r="P166" s="147">
        <f>O166*H166</f>
        <v>2.6339999999999999</v>
      </c>
      <c r="Q166" s="147">
        <v>0</v>
      </c>
      <c r="R166" s="147">
        <f>Q166*H166</f>
        <v>0</v>
      </c>
      <c r="S166" s="147">
        <v>0.02</v>
      </c>
      <c r="T166" s="148">
        <f>S166*H166</f>
        <v>26.34</v>
      </c>
      <c r="AR166" s="149" t="s">
        <v>191</v>
      </c>
      <c r="AT166" s="149" t="s">
        <v>186</v>
      </c>
      <c r="AU166" s="149" t="s">
        <v>20</v>
      </c>
      <c r="AY166" s="18" t="s">
        <v>184</v>
      </c>
      <c r="BE166" s="150">
        <f>IF(N166="základní",J166,0)</f>
        <v>8046.87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8" t="s">
        <v>88</v>
      </c>
      <c r="BK166" s="150">
        <f>ROUND(I166*H166,2)</f>
        <v>8046.87</v>
      </c>
      <c r="BL166" s="18" t="s">
        <v>191</v>
      </c>
      <c r="BM166" s="149" t="s">
        <v>1749</v>
      </c>
    </row>
    <row r="167" spans="2:65" s="1" customFormat="1" x14ac:dyDescent="0.3">
      <c r="B167" s="33"/>
      <c r="D167" s="151" t="s">
        <v>193</v>
      </c>
      <c r="F167" s="152" t="s">
        <v>485</v>
      </c>
      <c r="I167" s="153"/>
      <c r="L167" s="33"/>
      <c r="M167" s="154"/>
      <c r="T167" s="57"/>
      <c r="AT167" s="18" t="s">
        <v>193</v>
      </c>
      <c r="AU167" s="18" t="s">
        <v>20</v>
      </c>
    </row>
    <row r="168" spans="2:65" s="1" customFormat="1" ht="33" customHeight="1" x14ac:dyDescent="0.3">
      <c r="B168" s="33"/>
      <c r="C168" s="138" t="s">
        <v>340</v>
      </c>
      <c r="D168" s="138" t="s">
        <v>186</v>
      </c>
      <c r="E168" s="139" t="s">
        <v>622</v>
      </c>
      <c r="F168" s="140" t="s">
        <v>1750</v>
      </c>
      <c r="G168" s="141" t="s">
        <v>557</v>
      </c>
      <c r="H168" s="142">
        <v>7</v>
      </c>
      <c r="I168" s="143">
        <v>458.15</v>
      </c>
      <c r="J168" s="144">
        <f>ROUND(I168*H168,2)</f>
        <v>3207.05</v>
      </c>
      <c r="K168" s="140" t="s">
        <v>190</v>
      </c>
      <c r="L168" s="33"/>
      <c r="M168" s="145" t="s">
        <v>1</v>
      </c>
      <c r="N168" s="146" t="s">
        <v>47</v>
      </c>
      <c r="O168" s="147">
        <v>0.55700000000000005</v>
      </c>
      <c r="P168" s="147">
        <f>O168*H168</f>
        <v>3.8990000000000005</v>
      </c>
      <c r="Q168" s="147">
        <v>0</v>
      </c>
      <c r="R168" s="147">
        <f>Q168*H168</f>
        <v>0</v>
      </c>
      <c r="S168" s="147">
        <v>8.2000000000000003E-2</v>
      </c>
      <c r="T168" s="148">
        <f>S168*H168</f>
        <v>0.57400000000000007</v>
      </c>
      <c r="AR168" s="149" t="s">
        <v>191</v>
      </c>
      <c r="AT168" s="149" t="s">
        <v>186</v>
      </c>
      <c r="AU168" s="149" t="s">
        <v>20</v>
      </c>
      <c r="AY168" s="18" t="s">
        <v>184</v>
      </c>
      <c r="BE168" s="150">
        <f>IF(N168="základní",J168,0)</f>
        <v>3207.05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8" t="s">
        <v>88</v>
      </c>
      <c r="BK168" s="150">
        <f>ROUND(I168*H168,2)</f>
        <v>3207.05</v>
      </c>
      <c r="BL168" s="18" t="s">
        <v>191</v>
      </c>
      <c r="BM168" s="149" t="s">
        <v>1751</v>
      </c>
    </row>
    <row r="169" spans="2:65" s="1" customFormat="1" x14ac:dyDescent="0.3">
      <c r="B169" s="33"/>
      <c r="D169" s="151" t="s">
        <v>193</v>
      </c>
      <c r="F169" s="152" t="s">
        <v>625</v>
      </c>
      <c r="I169" s="153"/>
      <c r="L169" s="33"/>
      <c r="M169" s="154"/>
      <c r="T169" s="57"/>
      <c r="AT169" s="18" t="s">
        <v>193</v>
      </c>
      <c r="AU169" s="18" t="s">
        <v>20</v>
      </c>
    </row>
    <row r="170" spans="2:65" s="1" customFormat="1" ht="19.5" x14ac:dyDescent="0.3">
      <c r="B170" s="33"/>
      <c r="D170" s="156" t="s">
        <v>236</v>
      </c>
      <c r="F170" s="170" t="s">
        <v>626</v>
      </c>
      <c r="I170" s="153"/>
      <c r="L170" s="33"/>
      <c r="M170" s="154"/>
      <c r="T170" s="57"/>
      <c r="AT170" s="18" t="s">
        <v>236</v>
      </c>
      <c r="AU170" s="18" t="s">
        <v>20</v>
      </c>
    </row>
    <row r="171" spans="2:65" s="12" customFormat="1" ht="11.25" x14ac:dyDescent="0.3">
      <c r="B171" s="155"/>
      <c r="D171" s="156" t="s">
        <v>195</v>
      </c>
      <c r="E171" s="157" t="s">
        <v>1</v>
      </c>
      <c r="F171" s="158" t="s">
        <v>1752</v>
      </c>
      <c r="H171" s="159">
        <v>3</v>
      </c>
      <c r="I171" s="160"/>
      <c r="L171" s="155"/>
      <c r="M171" s="161"/>
      <c r="T171" s="162"/>
      <c r="AT171" s="157" t="s">
        <v>195</v>
      </c>
      <c r="AU171" s="157" t="s">
        <v>20</v>
      </c>
      <c r="AV171" s="12" t="s">
        <v>20</v>
      </c>
      <c r="AW171" s="12" t="s">
        <v>37</v>
      </c>
      <c r="AX171" s="12" t="s">
        <v>81</v>
      </c>
      <c r="AY171" s="157" t="s">
        <v>184</v>
      </c>
    </row>
    <row r="172" spans="2:65" s="12" customFormat="1" ht="11.25" x14ac:dyDescent="0.3">
      <c r="B172" s="155"/>
      <c r="D172" s="156" t="s">
        <v>195</v>
      </c>
      <c r="E172" s="157" t="s">
        <v>1</v>
      </c>
      <c r="F172" s="158" t="s">
        <v>1753</v>
      </c>
      <c r="H172" s="159">
        <v>2</v>
      </c>
      <c r="I172" s="160"/>
      <c r="L172" s="155"/>
      <c r="M172" s="161"/>
      <c r="T172" s="162"/>
      <c r="AT172" s="157" t="s">
        <v>195</v>
      </c>
      <c r="AU172" s="157" t="s">
        <v>20</v>
      </c>
      <c r="AV172" s="12" t="s">
        <v>20</v>
      </c>
      <c r="AW172" s="12" t="s">
        <v>37</v>
      </c>
      <c r="AX172" s="12" t="s">
        <v>81</v>
      </c>
      <c r="AY172" s="157" t="s">
        <v>184</v>
      </c>
    </row>
    <row r="173" spans="2:65" s="12" customFormat="1" ht="11.25" x14ac:dyDescent="0.3">
      <c r="B173" s="155"/>
      <c r="D173" s="156" t="s">
        <v>195</v>
      </c>
      <c r="E173" s="157" t="s">
        <v>1</v>
      </c>
      <c r="F173" s="158" t="s">
        <v>1754</v>
      </c>
      <c r="H173" s="159">
        <v>1</v>
      </c>
      <c r="I173" s="160"/>
      <c r="L173" s="155"/>
      <c r="M173" s="161"/>
      <c r="T173" s="162"/>
      <c r="AT173" s="157" t="s">
        <v>195</v>
      </c>
      <c r="AU173" s="157" t="s">
        <v>20</v>
      </c>
      <c r="AV173" s="12" t="s">
        <v>20</v>
      </c>
      <c r="AW173" s="12" t="s">
        <v>37</v>
      </c>
      <c r="AX173" s="12" t="s">
        <v>81</v>
      </c>
      <c r="AY173" s="157" t="s">
        <v>184</v>
      </c>
    </row>
    <row r="174" spans="2:65" s="12" customFormat="1" ht="11.25" x14ac:dyDescent="0.3">
      <c r="B174" s="155"/>
      <c r="D174" s="156" t="s">
        <v>195</v>
      </c>
      <c r="E174" s="157" t="s">
        <v>1</v>
      </c>
      <c r="F174" s="158" t="s">
        <v>1755</v>
      </c>
      <c r="H174" s="159">
        <v>1</v>
      </c>
      <c r="I174" s="160"/>
      <c r="L174" s="155"/>
      <c r="M174" s="161"/>
      <c r="T174" s="162"/>
      <c r="AT174" s="157" t="s">
        <v>195</v>
      </c>
      <c r="AU174" s="157" t="s">
        <v>20</v>
      </c>
      <c r="AV174" s="12" t="s">
        <v>20</v>
      </c>
      <c r="AW174" s="12" t="s">
        <v>37</v>
      </c>
      <c r="AX174" s="12" t="s">
        <v>81</v>
      </c>
      <c r="AY174" s="157" t="s">
        <v>184</v>
      </c>
    </row>
    <row r="175" spans="2:65" s="13" customFormat="1" ht="11.25" x14ac:dyDescent="0.3">
      <c r="B175" s="163"/>
      <c r="D175" s="156" t="s">
        <v>195</v>
      </c>
      <c r="E175" s="164" t="s">
        <v>1</v>
      </c>
      <c r="F175" s="165" t="s">
        <v>230</v>
      </c>
      <c r="H175" s="166">
        <v>7</v>
      </c>
      <c r="I175" s="167"/>
      <c r="L175" s="163"/>
      <c r="M175" s="168"/>
      <c r="T175" s="169"/>
      <c r="AT175" s="164" t="s">
        <v>195</v>
      </c>
      <c r="AU175" s="164" t="s">
        <v>20</v>
      </c>
      <c r="AV175" s="13" t="s">
        <v>191</v>
      </c>
      <c r="AW175" s="13" t="s">
        <v>37</v>
      </c>
      <c r="AX175" s="13" t="s">
        <v>88</v>
      </c>
      <c r="AY175" s="164" t="s">
        <v>184</v>
      </c>
    </row>
    <row r="176" spans="2:65" s="11" customFormat="1" ht="22.9" customHeight="1" x14ac:dyDescent="0.2">
      <c r="B176" s="127"/>
      <c r="D176" s="128" t="s">
        <v>80</v>
      </c>
      <c r="E176" s="136" t="s">
        <v>358</v>
      </c>
      <c r="F176" s="136" t="s">
        <v>359</v>
      </c>
      <c r="I176" s="171"/>
      <c r="J176" s="137">
        <f>BK176</f>
        <v>103912.95999999999</v>
      </c>
      <c r="L176" s="127"/>
      <c r="M176" s="131"/>
      <c r="P176" s="132">
        <f>SUM(P177:P185)</f>
        <v>435.27215599999994</v>
      </c>
      <c r="R176" s="132">
        <f>SUM(R177:R185)</f>
        <v>0</v>
      </c>
      <c r="T176" s="133">
        <f>SUM(T177:T185)</f>
        <v>0</v>
      </c>
      <c r="AR176" s="128" t="s">
        <v>88</v>
      </c>
      <c r="AT176" s="134" t="s">
        <v>80</v>
      </c>
      <c r="AU176" s="134" t="s">
        <v>88</v>
      </c>
      <c r="AY176" s="128" t="s">
        <v>184</v>
      </c>
      <c r="BK176" s="135">
        <f>SUM(BK177:BK185)</f>
        <v>103912.95999999999</v>
      </c>
    </row>
    <row r="177" spans="2:65" s="1" customFormat="1" ht="24.2" customHeight="1" x14ac:dyDescent="0.3">
      <c r="B177" s="33"/>
      <c r="C177" s="138" t="s">
        <v>346</v>
      </c>
      <c r="D177" s="138" t="s">
        <v>186</v>
      </c>
      <c r="E177" s="139" t="s">
        <v>636</v>
      </c>
      <c r="F177" s="140" t="s">
        <v>1756</v>
      </c>
      <c r="G177" s="141" t="s">
        <v>248</v>
      </c>
      <c r="H177" s="142">
        <v>40.084000000000003</v>
      </c>
      <c r="I177" s="143">
        <v>17.13</v>
      </c>
      <c r="J177" s="144">
        <f>ROUND(I177*H177,2)</f>
        <v>686.64</v>
      </c>
      <c r="K177" s="140" t="s">
        <v>190</v>
      </c>
      <c r="L177" s="33"/>
      <c r="M177" s="145" t="s">
        <v>1</v>
      </c>
      <c r="N177" s="146" t="s">
        <v>47</v>
      </c>
      <c r="O177" s="147">
        <v>4.0000000000000001E-3</v>
      </c>
      <c r="P177" s="147">
        <f>O177*H177</f>
        <v>0.16033600000000001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AR177" s="149" t="s">
        <v>191</v>
      </c>
      <c r="AT177" s="149" t="s">
        <v>186</v>
      </c>
      <c r="AU177" s="149" t="s">
        <v>20</v>
      </c>
      <c r="AY177" s="18" t="s">
        <v>184</v>
      </c>
      <c r="BE177" s="150">
        <f>IF(N177="základní",J177,0)</f>
        <v>686.64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8" t="s">
        <v>88</v>
      </c>
      <c r="BK177" s="150">
        <f>ROUND(I177*H177,2)</f>
        <v>686.64</v>
      </c>
      <c r="BL177" s="18" t="s">
        <v>191</v>
      </c>
      <c r="BM177" s="149" t="s">
        <v>1757</v>
      </c>
    </row>
    <row r="178" spans="2:65" s="1" customFormat="1" x14ac:dyDescent="0.3">
      <c r="B178" s="33"/>
      <c r="D178" s="151" t="s">
        <v>193</v>
      </c>
      <c r="F178" s="152" t="s">
        <v>639</v>
      </c>
      <c r="I178" s="153"/>
      <c r="L178" s="33"/>
      <c r="M178" s="154"/>
      <c r="T178" s="57"/>
      <c r="AT178" s="18" t="s">
        <v>193</v>
      </c>
      <c r="AU178" s="18" t="s">
        <v>20</v>
      </c>
    </row>
    <row r="179" spans="2:65" s="1" customFormat="1" ht="24.2" customHeight="1" x14ac:dyDescent="0.3">
      <c r="B179" s="33"/>
      <c r="C179" s="138" t="s">
        <v>353</v>
      </c>
      <c r="D179" s="138" t="s">
        <v>186</v>
      </c>
      <c r="E179" s="139" t="s">
        <v>361</v>
      </c>
      <c r="F179" s="140" t="s">
        <v>1572</v>
      </c>
      <c r="G179" s="141" t="s">
        <v>248</v>
      </c>
      <c r="H179" s="142">
        <v>521.09199999999998</v>
      </c>
      <c r="I179" s="143">
        <v>178.35</v>
      </c>
      <c r="J179" s="144">
        <f>ROUND(I179*H179,2)</f>
        <v>92936.76</v>
      </c>
      <c r="K179" s="140" t="s">
        <v>190</v>
      </c>
      <c r="L179" s="33"/>
      <c r="M179" s="145" t="s">
        <v>1</v>
      </c>
      <c r="N179" s="146" t="s">
        <v>47</v>
      </c>
      <c r="O179" s="147">
        <v>0.83499999999999996</v>
      </c>
      <c r="P179" s="147">
        <f>O179*H179</f>
        <v>435.11181999999997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49" t="s">
        <v>191</v>
      </c>
      <c r="AT179" s="149" t="s">
        <v>186</v>
      </c>
      <c r="AU179" s="149" t="s">
        <v>20</v>
      </c>
      <c r="AY179" s="18" t="s">
        <v>184</v>
      </c>
      <c r="BE179" s="150">
        <f>IF(N179="základní",J179,0)</f>
        <v>92936.76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8" t="s">
        <v>88</v>
      </c>
      <c r="BK179" s="150">
        <f>ROUND(I179*H179,2)</f>
        <v>92936.76</v>
      </c>
      <c r="BL179" s="18" t="s">
        <v>191</v>
      </c>
      <c r="BM179" s="149" t="s">
        <v>1758</v>
      </c>
    </row>
    <row r="180" spans="2:65" s="1" customFormat="1" x14ac:dyDescent="0.3">
      <c r="B180" s="33"/>
      <c r="D180" s="151" t="s">
        <v>193</v>
      </c>
      <c r="F180" s="152" t="s">
        <v>364</v>
      </c>
      <c r="I180" s="153"/>
      <c r="L180" s="33"/>
      <c r="M180" s="154"/>
      <c r="T180" s="57"/>
      <c r="AT180" s="18" t="s">
        <v>193</v>
      </c>
      <c r="AU180" s="18" t="s">
        <v>20</v>
      </c>
    </row>
    <row r="181" spans="2:65" s="1" customFormat="1" ht="19.5" x14ac:dyDescent="0.3">
      <c r="B181" s="33"/>
      <c r="D181" s="156" t="s">
        <v>236</v>
      </c>
      <c r="F181" s="170" t="s">
        <v>640</v>
      </c>
      <c r="I181" s="153"/>
      <c r="L181" s="33"/>
      <c r="M181" s="154"/>
      <c r="T181" s="57"/>
      <c r="AT181" s="18" t="s">
        <v>236</v>
      </c>
      <c r="AU181" s="18" t="s">
        <v>20</v>
      </c>
    </row>
    <row r="182" spans="2:65" s="12" customFormat="1" ht="11.25" x14ac:dyDescent="0.3">
      <c r="B182" s="155"/>
      <c r="D182" s="156" t="s">
        <v>195</v>
      </c>
      <c r="E182" s="157" t="s">
        <v>1</v>
      </c>
      <c r="F182" s="158" t="s">
        <v>1759</v>
      </c>
      <c r="H182" s="159">
        <v>40.084000000000003</v>
      </c>
      <c r="I182" s="160"/>
      <c r="L182" s="155"/>
      <c r="M182" s="161"/>
      <c r="T182" s="162"/>
      <c r="AT182" s="157" t="s">
        <v>195</v>
      </c>
      <c r="AU182" s="157" t="s">
        <v>20</v>
      </c>
      <c r="AV182" s="12" t="s">
        <v>20</v>
      </c>
      <c r="AW182" s="12" t="s">
        <v>37</v>
      </c>
      <c r="AX182" s="12" t="s">
        <v>81</v>
      </c>
      <c r="AY182" s="157" t="s">
        <v>184</v>
      </c>
    </row>
    <row r="183" spans="2:65" s="12" customFormat="1" ht="11.25" x14ac:dyDescent="0.3">
      <c r="B183" s="155"/>
      <c r="D183" s="156" t="s">
        <v>195</v>
      </c>
      <c r="E183" s="157" t="s">
        <v>1</v>
      </c>
      <c r="F183" s="158" t="s">
        <v>1760</v>
      </c>
      <c r="H183" s="159">
        <v>521.09199999999998</v>
      </c>
      <c r="I183" s="160"/>
      <c r="L183" s="155"/>
      <c r="M183" s="161"/>
      <c r="T183" s="162"/>
      <c r="AT183" s="157" t="s">
        <v>195</v>
      </c>
      <c r="AU183" s="157" t="s">
        <v>20</v>
      </c>
      <c r="AV183" s="12" t="s">
        <v>20</v>
      </c>
      <c r="AW183" s="12" t="s">
        <v>37</v>
      </c>
      <c r="AX183" s="12" t="s">
        <v>88</v>
      </c>
      <c r="AY183" s="157" t="s">
        <v>184</v>
      </c>
    </row>
    <row r="184" spans="2:65" s="1" customFormat="1" ht="24.2" customHeight="1" x14ac:dyDescent="0.3">
      <c r="B184" s="33"/>
      <c r="C184" s="138" t="s">
        <v>360</v>
      </c>
      <c r="D184" s="138" t="s">
        <v>186</v>
      </c>
      <c r="E184" s="139" t="s">
        <v>643</v>
      </c>
      <c r="F184" s="140" t="s">
        <v>1761</v>
      </c>
      <c r="G184" s="141" t="s">
        <v>248</v>
      </c>
      <c r="H184" s="142">
        <v>40.084000000000003</v>
      </c>
      <c r="I184" s="143">
        <v>256.7</v>
      </c>
      <c r="J184" s="144">
        <f>ROUND(I184*H184,2)</f>
        <v>10289.56</v>
      </c>
      <c r="K184" s="140" t="s">
        <v>190</v>
      </c>
      <c r="L184" s="33"/>
      <c r="M184" s="145" t="s">
        <v>1</v>
      </c>
      <c r="N184" s="146" t="s">
        <v>47</v>
      </c>
      <c r="O184" s="147">
        <v>0</v>
      </c>
      <c r="P184" s="147">
        <f>O184*H184</f>
        <v>0</v>
      </c>
      <c r="Q184" s="147">
        <v>0</v>
      </c>
      <c r="R184" s="147">
        <f>Q184*H184</f>
        <v>0</v>
      </c>
      <c r="S184" s="147">
        <v>0</v>
      </c>
      <c r="T184" s="148">
        <f>S184*H184</f>
        <v>0</v>
      </c>
      <c r="AR184" s="149" t="s">
        <v>191</v>
      </c>
      <c r="AT184" s="149" t="s">
        <v>186</v>
      </c>
      <c r="AU184" s="149" t="s">
        <v>20</v>
      </c>
      <c r="AY184" s="18" t="s">
        <v>184</v>
      </c>
      <c r="BE184" s="150">
        <f>IF(N184="základní",J184,0)</f>
        <v>10289.56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8" t="s">
        <v>88</v>
      </c>
      <c r="BK184" s="150">
        <f>ROUND(I184*H184,2)</f>
        <v>10289.56</v>
      </c>
      <c r="BL184" s="18" t="s">
        <v>191</v>
      </c>
      <c r="BM184" s="149" t="s">
        <v>1762</v>
      </c>
    </row>
    <row r="185" spans="2:65" s="1" customFormat="1" x14ac:dyDescent="0.3">
      <c r="B185" s="33"/>
      <c r="D185" s="151" t="s">
        <v>193</v>
      </c>
      <c r="F185" s="152" t="s">
        <v>646</v>
      </c>
      <c r="I185" s="153"/>
      <c r="L185" s="33"/>
      <c r="M185" s="154"/>
      <c r="T185" s="57"/>
      <c r="AT185" s="18" t="s">
        <v>193</v>
      </c>
      <c r="AU185" s="18" t="s">
        <v>20</v>
      </c>
    </row>
    <row r="186" spans="2:65" s="11" customFormat="1" ht="22.9" customHeight="1" x14ac:dyDescent="0.2">
      <c r="B186" s="127"/>
      <c r="D186" s="128" t="s">
        <v>80</v>
      </c>
      <c r="E186" s="136" t="s">
        <v>374</v>
      </c>
      <c r="F186" s="136" t="s">
        <v>375</v>
      </c>
      <c r="I186" s="171"/>
      <c r="J186" s="137">
        <f>BK186</f>
        <v>59679.92</v>
      </c>
      <c r="L186" s="127"/>
      <c r="M186" s="131"/>
      <c r="P186" s="132">
        <f>SUM(P187:P188)</f>
        <v>25.79148</v>
      </c>
      <c r="R186" s="132">
        <f>SUM(R187:R188)</f>
        <v>0</v>
      </c>
      <c r="T186" s="133">
        <f>SUM(T187:T188)</f>
        <v>0</v>
      </c>
      <c r="AR186" s="128" t="s">
        <v>88</v>
      </c>
      <c r="AT186" s="134" t="s">
        <v>80</v>
      </c>
      <c r="AU186" s="134" t="s">
        <v>88</v>
      </c>
      <c r="AY186" s="128" t="s">
        <v>184</v>
      </c>
      <c r="BK186" s="135">
        <f>SUM(BK187:BK188)</f>
        <v>59679.92</v>
      </c>
    </row>
    <row r="187" spans="2:65" s="1" customFormat="1" ht="24.2" customHeight="1" x14ac:dyDescent="0.3">
      <c r="B187" s="33"/>
      <c r="C187" s="138" t="s">
        <v>368</v>
      </c>
      <c r="D187" s="138" t="s">
        <v>186</v>
      </c>
      <c r="E187" s="139" t="s">
        <v>651</v>
      </c>
      <c r="F187" s="140" t="s">
        <v>1763</v>
      </c>
      <c r="G187" s="141" t="s">
        <v>248</v>
      </c>
      <c r="H187" s="142">
        <v>390.78</v>
      </c>
      <c r="I187" s="143">
        <v>152.72</v>
      </c>
      <c r="J187" s="144">
        <f>ROUND(I187*H187,2)</f>
        <v>59679.92</v>
      </c>
      <c r="K187" s="140" t="s">
        <v>190</v>
      </c>
      <c r="L187" s="33"/>
      <c r="M187" s="145" t="s">
        <v>1</v>
      </c>
      <c r="N187" s="146" t="s">
        <v>47</v>
      </c>
      <c r="O187" s="147">
        <v>6.6000000000000003E-2</v>
      </c>
      <c r="P187" s="147">
        <f>O187*H187</f>
        <v>25.79148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49" t="s">
        <v>191</v>
      </c>
      <c r="AT187" s="149" t="s">
        <v>186</v>
      </c>
      <c r="AU187" s="149" t="s">
        <v>20</v>
      </c>
      <c r="AY187" s="18" t="s">
        <v>184</v>
      </c>
      <c r="BE187" s="150">
        <f>IF(N187="základní",J187,0)</f>
        <v>59679.92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8" t="s">
        <v>88</v>
      </c>
      <c r="BK187" s="150">
        <f>ROUND(I187*H187,2)</f>
        <v>59679.92</v>
      </c>
      <c r="BL187" s="18" t="s">
        <v>191</v>
      </c>
      <c r="BM187" s="149" t="s">
        <v>1764</v>
      </c>
    </row>
    <row r="188" spans="2:65" s="1" customFormat="1" x14ac:dyDescent="0.3">
      <c r="B188" s="33"/>
      <c r="D188" s="151" t="s">
        <v>193</v>
      </c>
      <c r="F188" s="152" t="s">
        <v>654</v>
      </c>
      <c r="I188" s="153"/>
      <c r="L188" s="33"/>
      <c r="M188" s="189"/>
      <c r="N188" s="190"/>
      <c r="O188" s="190"/>
      <c r="P188" s="190"/>
      <c r="Q188" s="190"/>
      <c r="R188" s="190"/>
      <c r="S188" s="190"/>
      <c r="T188" s="191"/>
      <c r="AT188" s="18" t="s">
        <v>193</v>
      </c>
      <c r="AU188" s="18" t="s">
        <v>20</v>
      </c>
    </row>
    <row r="189" spans="2:65" s="1" customFormat="1" ht="6.95" customHeight="1" x14ac:dyDescent="0.3">
      <c r="B189" s="45"/>
      <c r="C189" s="46"/>
      <c r="D189" s="46"/>
      <c r="E189" s="46"/>
      <c r="F189" s="46"/>
      <c r="G189" s="46"/>
      <c r="H189" s="46"/>
      <c r="I189" s="188"/>
      <c r="J189" s="46"/>
      <c r="K189" s="46"/>
      <c r="L189" s="33"/>
    </row>
  </sheetData>
  <sheetProtection sheet="1" objects="1" scenarios="1"/>
  <autoFilter ref="C121:K269" xr:uid="{E805EDA9-B508-4991-9CD6-6BBF6613B8F4}"/>
  <mergeCells count="8">
    <mergeCell ref="E48:H48"/>
    <mergeCell ref="E50:H50"/>
    <mergeCell ref="E75:H75"/>
    <mergeCell ref="E77:H77"/>
    <mergeCell ref="L2:V2"/>
    <mergeCell ref="E7:H7"/>
    <mergeCell ref="E9:H9"/>
    <mergeCell ref="E27:H27"/>
  </mergeCells>
  <hyperlinks>
    <hyperlink ref="F89" r:id="rId1" xr:uid="{B4365BAA-D9D6-4D31-884F-8BC3F1B5D19B}"/>
    <hyperlink ref="F92" r:id="rId2" xr:uid="{0DE46F3A-4FB0-4C4D-B9D1-2F9F29315F58}"/>
    <hyperlink ref="F95" r:id="rId3" xr:uid="{5D9CBC5A-289A-4E23-B0E5-CC93E6B03D21}"/>
    <hyperlink ref="F98" r:id="rId4" xr:uid="{CF6DBD65-5FDF-44B7-84FE-1C7FB1C606F6}"/>
    <hyperlink ref="F102" r:id="rId5" xr:uid="{D94BEDFE-DE8F-40A5-8D13-C8741E47507C}"/>
    <hyperlink ref="F104" r:id="rId6" xr:uid="{05767711-FCA0-4ECA-AE28-9B05736946EA}"/>
    <hyperlink ref="F107" r:id="rId7" xr:uid="{F3A74312-BD9D-4B67-9997-6FB17621B263}"/>
    <hyperlink ref="F114" r:id="rId8" xr:uid="{5A96CD59-CE1B-4150-8540-7DC9BD62E0C2}"/>
    <hyperlink ref="F119" r:id="rId9" xr:uid="{080FB6B1-6274-47F9-851C-9E5DE64709A2}"/>
    <hyperlink ref="F126" r:id="rId10" xr:uid="{20B87998-B149-4840-BCB2-FBF230E036DA}"/>
    <hyperlink ref="F131" r:id="rId11" xr:uid="{66765DB2-542E-4B09-BA03-5F1F2619E892}"/>
    <hyperlink ref="F135" r:id="rId12" xr:uid="{007F5112-3AEA-40F1-8987-CF29C62DA46D}"/>
    <hyperlink ref="F165" r:id="rId13" xr:uid="{92AC7393-40CA-42FA-9DE6-0669BF8B9ACD}"/>
    <hyperlink ref="F167" r:id="rId14" xr:uid="{7D10DDB2-AD7B-4F5F-8ED4-D72F8EA1D118}"/>
    <hyperlink ref="F169" r:id="rId15" xr:uid="{C0467FCA-EE21-4D02-B100-E35DED2B64F2}"/>
    <hyperlink ref="F178" r:id="rId16" xr:uid="{6656C9D4-1469-435B-84EF-3DCDBC611779}"/>
    <hyperlink ref="F180" r:id="rId17" xr:uid="{4F96B50A-92A4-498B-BA7B-2073115B01EC}"/>
    <hyperlink ref="F185" r:id="rId18" xr:uid="{BBB05BCB-8E7F-42A2-BD49-2D290E4B152D}"/>
    <hyperlink ref="F188" r:id="rId19" xr:uid="{77A59836-6011-4320-88A6-91CCEF2B6709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2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9F82B-57F5-4A0E-9B27-93726ECB9257}">
  <sheetPr>
    <tabColor indexed="42"/>
    <pageSetUpPr fitToPage="1"/>
  </sheetPr>
  <dimension ref="B2:BM96"/>
  <sheetViews>
    <sheetView showGridLines="0" zoomScale="115" zoomScaleNormal="115" workbookViewId="0">
      <selection activeCell="J92" sqref="J92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129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1765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ROUND(J82, 2)</f>
        <v>27820.240000000002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ROUND((SUM(BE82:BE95)),  2)</f>
        <v>27820.240000000002</v>
      </c>
      <c r="I33" s="99">
        <v>0.21</v>
      </c>
      <c r="J33" s="98">
        <f>ROUND(((SUM(BE82:BE95))*I33),  2)</f>
        <v>5842.25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ROUND((SUM(BF82:BF95)),  2)</f>
        <v>0</v>
      </c>
      <c r="I34" s="99">
        <v>0.15</v>
      </c>
      <c r="J34" s="98">
        <f>ROUND(((SUM(BF82:BF95))*I34),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ROUND((SUM(BG82:BG95)),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ROUND((SUM(BH82:BH95)),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ROUND((SUM(BI82:BI95)),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33662.490000000005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105.II - Místa pro přecházení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J82</f>
        <v>27820.240000000002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J83</f>
        <v>27820.240000000002</v>
      </c>
      <c r="L60" s="111"/>
    </row>
    <row r="61" spans="2:47" s="9" customFormat="1" ht="19.899999999999999" customHeight="1" x14ac:dyDescent="0.3">
      <c r="B61" s="115"/>
      <c r="D61" s="116" t="s">
        <v>163</v>
      </c>
      <c r="E61" s="117"/>
      <c r="F61" s="117"/>
      <c r="G61" s="117"/>
      <c r="H61" s="117"/>
      <c r="I61" s="117"/>
      <c r="J61" s="118">
        <f>J84</f>
        <v>27801.81</v>
      </c>
      <c r="L61" s="115"/>
    </row>
    <row r="62" spans="2:47" s="9" customFormat="1" ht="19.899999999999999" customHeight="1" x14ac:dyDescent="0.3">
      <c r="B62" s="115"/>
      <c r="D62" s="116" t="s">
        <v>165</v>
      </c>
      <c r="E62" s="117"/>
      <c r="F62" s="117"/>
      <c r="G62" s="117"/>
      <c r="H62" s="117"/>
      <c r="I62" s="117"/>
      <c r="J62" s="118">
        <f>J93</f>
        <v>18.43</v>
      </c>
      <c r="L62" s="115"/>
    </row>
    <row r="63" spans="2:47" s="1" customFormat="1" ht="21.75" customHeight="1" x14ac:dyDescent="0.3">
      <c r="B63" s="33"/>
      <c r="L63" s="33"/>
    </row>
    <row r="64" spans="2:47" s="1" customFormat="1" ht="6.95" customHeight="1" x14ac:dyDescent="0.3"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33"/>
    </row>
    <row r="68" spans="2:12" s="1" customFormat="1" ht="6.95" customHeight="1" x14ac:dyDescent="0.3"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33"/>
    </row>
    <row r="69" spans="2:12" s="1" customFormat="1" ht="24.95" customHeight="1" x14ac:dyDescent="0.3">
      <c r="B69" s="33"/>
      <c r="C69" s="22" t="s">
        <v>168</v>
      </c>
      <c r="L69" s="33"/>
    </row>
    <row r="70" spans="2:12" s="1" customFormat="1" ht="6.95" customHeight="1" x14ac:dyDescent="0.3">
      <c r="B70" s="33"/>
      <c r="L70" s="33"/>
    </row>
    <row r="71" spans="2:12" s="1" customFormat="1" ht="12" customHeight="1" x14ac:dyDescent="0.3">
      <c r="B71" s="33"/>
      <c r="C71" s="28" t="s">
        <v>15</v>
      </c>
      <c r="L71" s="33"/>
    </row>
    <row r="72" spans="2:12" s="1" customFormat="1" ht="16.5" customHeight="1" x14ac:dyDescent="0.3">
      <c r="B72" s="33"/>
      <c r="E72" s="324" t="str">
        <f>E7</f>
        <v>Obnova ulice Tyršova, Dobrovice - II. etapa</v>
      </c>
      <c r="F72" s="325"/>
      <c r="G72" s="325"/>
      <c r="H72" s="325"/>
      <c r="L72" s="33"/>
    </row>
    <row r="73" spans="2:12" s="1" customFormat="1" ht="12" customHeight="1" x14ac:dyDescent="0.3">
      <c r="B73" s="33"/>
      <c r="C73" s="28" t="s">
        <v>152</v>
      </c>
      <c r="L73" s="33"/>
    </row>
    <row r="74" spans="2:12" s="1" customFormat="1" ht="16.5" customHeight="1" x14ac:dyDescent="0.3">
      <c r="B74" s="33"/>
      <c r="E74" s="308" t="str">
        <f>E9</f>
        <v>SO 105.II - Místa pro přecházení II. etapa</v>
      </c>
      <c r="F74" s="326"/>
      <c r="G74" s="326"/>
      <c r="H74" s="326"/>
      <c r="L74" s="33"/>
    </row>
    <row r="75" spans="2:12" s="1" customFormat="1" ht="6.95" customHeight="1" x14ac:dyDescent="0.3">
      <c r="B75" s="33"/>
      <c r="L75" s="33"/>
    </row>
    <row r="76" spans="2:12" s="1" customFormat="1" ht="12" customHeight="1" x14ac:dyDescent="0.3">
      <c r="B76" s="33"/>
      <c r="C76" s="28" t="s">
        <v>21</v>
      </c>
      <c r="F76" s="26" t="str">
        <f>F12</f>
        <v>Dobrovice</v>
      </c>
      <c r="I76" s="28" t="s">
        <v>23</v>
      </c>
      <c r="J76" s="53">
        <f>IF(J12="","",J12)</f>
        <v>45678</v>
      </c>
      <c r="L76" s="33"/>
    </row>
    <row r="77" spans="2:12" s="1" customFormat="1" ht="6.95" customHeight="1" x14ac:dyDescent="0.3">
      <c r="B77" s="33"/>
      <c r="L77" s="33"/>
    </row>
    <row r="78" spans="2:12" s="1" customFormat="1" ht="25.7" customHeight="1" x14ac:dyDescent="0.3">
      <c r="B78" s="33"/>
      <c r="C78" s="28" t="s">
        <v>28</v>
      </c>
      <c r="F78" s="26" t="str">
        <f>E15</f>
        <v>Město Dobrovice, Palckého nám. 28, 294 41</v>
      </c>
      <c r="I78" s="28" t="s">
        <v>34</v>
      </c>
      <c r="J78" s="96" t="str">
        <f>E21</f>
        <v>Ing. arch. Martin Jirovský Ph.D., MBA</v>
      </c>
      <c r="L78" s="33"/>
    </row>
    <row r="79" spans="2:12" s="1" customFormat="1" ht="40.15" customHeight="1" x14ac:dyDescent="0.3">
      <c r="B79" s="33"/>
      <c r="C79" s="28" t="s">
        <v>33</v>
      </c>
      <c r="F79" s="26">
        <f>IF(E18="","",E18)</f>
        <v>0</v>
      </c>
      <c r="I79" s="28" t="s">
        <v>38</v>
      </c>
      <c r="J79" s="96" t="str">
        <f>E24</f>
        <v>ROAD M.A.A.T. s.r.o., Petra Stejskalová</v>
      </c>
      <c r="L79" s="33"/>
    </row>
    <row r="80" spans="2:12" s="1" customFormat="1" ht="10.35" customHeight="1" x14ac:dyDescent="0.3">
      <c r="B80" s="33"/>
      <c r="L80" s="33"/>
    </row>
    <row r="81" spans="2:65" s="10" customFormat="1" ht="29.25" customHeight="1" x14ac:dyDescent="0.3">
      <c r="B81" s="119"/>
      <c r="C81" s="120" t="s">
        <v>169</v>
      </c>
      <c r="D81" s="121" t="s">
        <v>66</v>
      </c>
      <c r="E81" s="121" t="s">
        <v>63</v>
      </c>
      <c r="F81" s="121" t="s">
        <v>170</v>
      </c>
      <c r="G81" s="121" t="s">
        <v>171</v>
      </c>
      <c r="H81" s="121" t="s">
        <v>172</v>
      </c>
      <c r="I81" s="121" t="s">
        <v>173</v>
      </c>
      <c r="J81" s="121" t="s">
        <v>157</v>
      </c>
      <c r="K81" s="122" t="s">
        <v>174</v>
      </c>
      <c r="L81" s="119"/>
      <c r="M81" s="60" t="s">
        <v>1</v>
      </c>
      <c r="N81" s="61" t="s">
        <v>46</v>
      </c>
      <c r="O81" s="61" t="s">
        <v>175</v>
      </c>
      <c r="P81" s="61" t="s">
        <v>176</v>
      </c>
      <c r="Q81" s="61" t="s">
        <v>177</v>
      </c>
      <c r="R81" s="61" t="s">
        <v>178</v>
      </c>
      <c r="S81" s="61" t="s">
        <v>179</v>
      </c>
      <c r="T81" s="62" t="s">
        <v>180</v>
      </c>
    </row>
    <row r="82" spans="2:65" s="1" customFormat="1" ht="22.9" customHeight="1" x14ac:dyDescent="0.25">
      <c r="B82" s="33"/>
      <c r="C82" s="65" t="s">
        <v>181</v>
      </c>
      <c r="J82" s="123">
        <f>BK82</f>
        <v>27820.240000000002</v>
      </c>
      <c r="L82" s="33"/>
      <c r="M82" s="63"/>
      <c r="N82" s="54"/>
      <c r="O82" s="54"/>
      <c r="P82" s="124">
        <f>P83</f>
        <v>5.2051100000000003</v>
      </c>
      <c r="Q82" s="54"/>
      <c r="R82" s="124">
        <f>R83</f>
        <v>6.1711999999999991E-3</v>
      </c>
      <c r="S82" s="54"/>
      <c r="T82" s="125">
        <f>T83</f>
        <v>6.6000000000000003E-2</v>
      </c>
      <c r="AT82" s="18" t="s">
        <v>80</v>
      </c>
      <c r="AU82" s="18" t="s">
        <v>159</v>
      </c>
      <c r="BK82" s="126">
        <f>BK83</f>
        <v>27820.240000000002</v>
      </c>
    </row>
    <row r="83" spans="2:65" s="11" customFormat="1" ht="25.9" customHeight="1" x14ac:dyDescent="0.2">
      <c r="B83" s="127"/>
      <c r="D83" s="128" t="s">
        <v>80</v>
      </c>
      <c r="E83" s="129" t="s">
        <v>182</v>
      </c>
      <c r="F83" s="129" t="s">
        <v>183</v>
      </c>
      <c r="J83" s="130">
        <f>BK83</f>
        <v>27820.240000000002</v>
      </c>
      <c r="L83" s="127"/>
      <c r="M83" s="131"/>
      <c r="P83" s="132">
        <f>P84+P93</f>
        <v>5.2051100000000003</v>
      </c>
      <c r="R83" s="132">
        <f>R84+R93</f>
        <v>6.1711999999999991E-3</v>
      </c>
      <c r="T83" s="133">
        <f>T84+T93</f>
        <v>6.6000000000000003E-2</v>
      </c>
      <c r="AR83" s="128" t="s">
        <v>88</v>
      </c>
      <c r="AT83" s="134" t="s">
        <v>80</v>
      </c>
      <c r="AU83" s="134" t="s">
        <v>81</v>
      </c>
      <c r="AY83" s="128" t="s">
        <v>184</v>
      </c>
      <c r="BK83" s="135">
        <f>BK84+BK93</f>
        <v>27820.240000000002</v>
      </c>
    </row>
    <row r="84" spans="2:65" s="11" customFormat="1" ht="22.9" customHeight="1" x14ac:dyDescent="0.2">
      <c r="B84" s="127"/>
      <c r="D84" s="128" t="s">
        <v>80</v>
      </c>
      <c r="E84" s="136" t="s">
        <v>245</v>
      </c>
      <c r="F84" s="136" t="s">
        <v>304</v>
      </c>
      <c r="J84" s="137">
        <f>BK84</f>
        <v>27801.81</v>
      </c>
      <c r="L84" s="127"/>
      <c r="M84" s="131"/>
      <c r="P84" s="132">
        <f>SUM(P85:P92)</f>
        <v>5.1990800000000004</v>
      </c>
      <c r="R84" s="132">
        <f>SUM(R85:R92)</f>
        <v>6.1711999999999991E-3</v>
      </c>
      <c r="T84" s="133">
        <f>SUM(T85:T92)</f>
        <v>6.6000000000000003E-2</v>
      </c>
      <c r="AR84" s="128" t="s">
        <v>88</v>
      </c>
      <c r="AT84" s="134" t="s">
        <v>80</v>
      </c>
      <c r="AU84" s="134" t="s">
        <v>88</v>
      </c>
      <c r="AY84" s="128" t="s">
        <v>184</v>
      </c>
      <c r="BK84" s="135">
        <f>SUM(BK85:BK92)</f>
        <v>27801.81</v>
      </c>
    </row>
    <row r="85" spans="2:65" s="1" customFormat="1" ht="16.5" customHeight="1" x14ac:dyDescent="0.3">
      <c r="B85" s="33"/>
      <c r="C85" s="138" t="s">
        <v>88</v>
      </c>
      <c r="D85" s="138" t="s">
        <v>186</v>
      </c>
      <c r="E85" s="139" t="s">
        <v>656</v>
      </c>
      <c r="F85" s="140" t="s">
        <v>1766</v>
      </c>
      <c r="G85" s="141" t="s">
        <v>210</v>
      </c>
      <c r="H85" s="142">
        <v>44.08</v>
      </c>
      <c r="I85" s="143">
        <v>610.87</v>
      </c>
      <c r="J85" s="144">
        <f>ROUND(I85*H85,2)</f>
        <v>26927.15</v>
      </c>
      <c r="K85" s="140" t="s">
        <v>190</v>
      </c>
      <c r="L85" s="33"/>
      <c r="M85" s="145" t="s">
        <v>1</v>
      </c>
      <c r="N85" s="146" t="s">
        <v>47</v>
      </c>
      <c r="O85" s="147">
        <v>0.1</v>
      </c>
      <c r="P85" s="147">
        <f>O85*H85</f>
        <v>4.4080000000000004</v>
      </c>
      <c r="Q85" s="147">
        <v>1.3999999999999999E-4</v>
      </c>
      <c r="R85" s="147">
        <f>Q85*H85</f>
        <v>6.1711999999999991E-3</v>
      </c>
      <c r="S85" s="147">
        <v>0</v>
      </c>
      <c r="T85" s="148">
        <f>S85*H85</f>
        <v>0</v>
      </c>
      <c r="AR85" s="149" t="s">
        <v>191</v>
      </c>
      <c r="AT85" s="149" t="s">
        <v>186</v>
      </c>
      <c r="AU85" s="149" t="s">
        <v>20</v>
      </c>
      <c r="AY85" s="18" t="s">
        <v>184</v>
      </c>
      <c r="BE85" s="150">
        <f>IF(N85="základní",J85,0)</f>
        <v>26927.15</v>
      </c>
      <c r="BF85" s="150">
        <f>IF(N85="snížená",J85,0)</f>
        <v>0</v>
      </c>
      <c r="BG85" s="150">
        <f>IF(N85="zákl. přenesená",J85,0)</f>
        <v>0</v>
      </c>
      <c r="BH85" s="150">
        <f>IF(N85="sníž. přenesená",J85,0)</f>
        <v>0</v>
      </c>
      <c r="BI85" s="150">
        <f>IF(N85="nulová",J85,0)</f>
        <v>0</v>
      </c>
      <c r="BJ85" s="18" t="s">
        <v>88</v>
      </c>
      <c r="BK85" s="150">
        <f>ROUND(I85*H85,2)</f>
        <v>26927.15</v>
      </c>
      <c r="BL85" s="18" t="s">
        <v>191</v>
      </c>
      <c r="BM85" s="149" t="s">
        <v>1767</v>
      </c>
    </row>
    <row r="86" spans="2:65" s="1" customFormat="1" x14ac:dyDescent="0.3">
      <c r="B86" s="33"/>
      <c r="D86" s="151" t="s">
        <v>193</v>
      </c>
      <c r="F86" s="152" t="s">
        <v>1768</v>
      </c>
      <c r="I86" s="153"/>
      <c r="L86" s="33"/>
      <c r="M86" s="154"/>
      <c r="T86" s="57"/>
      <c r="AT86" s="18" t="s">
        <v>193</v>
      </c>
      <c r="AU86" s="18" t="s">
        <v>20</v>
      </c>
    </row>
    <row r="87" spans="2:65" s="12" customFormat="1" ht="11.25" x14ac:dyDescent="0.3">
      <c r="B87" s="155"/>
      <c r="D87" s="156" t="s">
        <v>195</v>
      </c>
      <c r="E87" s="157" t="s">
        <v>1</v>
      </c>
      <c r="F87" s="158" t="s">
        <v>1769</v>
      </c>
      <c r="H87" s="159">
        <v>44.08</v>
      </c>
      <c r="I87" s="160"/>
      <c r="L87" s="155"/>
      <c r="M87" s="161"/>
      <c r="T87" s="162"/>
      <c r="AT87" s="157" t="s">
        <v>195</v>
      </c>
      <c r="AU87" s="157" t="s">
        <v>20</v>
      </c>
      <c r="AV87" s="12" t="s">
        <v>20</v>
      </c>
      <c r="AW87" s="12" t="s">
        <v>37</v>
      </c>
      <c r="AX87" s="12" t="s">
        <v>88</v>
      </c>
      <c r="AY87" s="157" t="s">
        <v>184</v>
      </c>
    </row>
    <row r="88" spans="2:65" s="1" customFormat="1" ht="24.2" customHeight="1" x14ac:dyDescent="0.3">
      <c r="B88" s="33"/>
      <c r="C88" s="138" t="s">
        <v>20</v>
      </c>
      <c r="D88" s="138" t="s">
        <v>186</v>
      </c>
      <c r="E88" s="139" t="s">
        <v>463</v>
      </c>
      <c r="F88" s="140" t="s">
        <v>1665</v>
      </c>
      <c r="G88" s="141" t="s">
        <v>210</v>
      </c>
      <c r="H88" s="142">
        <v>44.08</v>
      </c>
      <c r="I88" s="143">
        <v>15.27</v>
      </c>
      <c r="J88" s="144">
        <f>ROUND(I88*H88,2)</f>
        <v>673.1</v>
      </c>
      <c r="K88" s="140" t="s">
        <v>190</v>
      </c>
      <c r="L88" s="33"/>
      <c r="M88" s="145" t="s">
        <v>1</v>
      </c>
      <c r="N88" s="146" t="s">
        <v>47</v>
      </c>
      <c r="O88" s="147">
        <v>1.6E-2</v>
      </c>
      <c r="P88" s="147">
        <f>O88*H88</f>
        <v>0.70528000000000002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AR88" s="149" t="s">
        <v>191</v>
      </c>
      <c r="AT88" s="149" t="s">
        <v>186</v>
      </c>
      <c r="AU88" s="149" t="s">
        <v>20</v>
      </c>
      <c r="AY88" s="18" t="s">
        <v>184</v>
      </c>
      <c r="BE88" s="150">
        <f>IF(N88="základní",J88,0)</f>
        <v>673.1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8" t="s">
        <v>88</v>
      </c>
      <c r="BK88" s="150">
        <f>ROUND(I88*H88,2)</f>
        <v>673.1</v>
      </c>
      <c r="BL88" s="18" t="s">
        <v>191</v>
      </c>
      <c r="BM88" s="149" t="s">
        <v>1770</v>
      </c>
    </row>
    <row r="89" spans="2:65" s="1" customFormat="1" x14ac:dyDescent="0.3">
      <c r="B89" s="33"/>
      <c r="D89" s="151" t="s">
        <v>193</v>
      </c>
      <c r="F89" s="152" t="s">
        <v>466</v>
      </c>
      <c r="I89" s="153"/>
      <c r="L89" s="33"/>
      <c r="M89" s="154"/>
      <c r="T89" s="57"/>
      <c r="AT89" s="18" t="s">
        <v>193</v>
      </c>
      <c r="AU89" s="18" t="s">
        <v>20</v>
      </c>
    </row>
    <row r="90" spans="2:65" s="1" customFormat="1" ht="21.75" customHeight="1" x14ac:dyDescent="0.3">
      <c r="B90" s="33"/>
      <c r="C90" s="138" t="s">
        <v>202</v>
      </c>
      <c r="D90" s="138" t="s">
        <v>186</v>
      </c>
      <c r="E90" s="139" t="s">
        <v>478</v>
      </c>
      <c r="F90" s="140" t="s">
        <v>1685</v>
      </c>
      <c r="G90" s="141" t="s">
        <v>189</v>
      </c>
      <c r="H90" s="142">
        <v>6.6</v>
      </c>
      <c r="I90" s="143">
        <v>30.54</v>
      </c>
      <c r="J90" s="144">
        <f>ROUND(I90*H90,2)</f>
        <v>201.56</v>
      </c>
      <c r="K90" s="140" t="s">
        <v>190</v>
      </c>
      <c r="L90" s="33"/>
      <c r="M90" s="145" t="s">
        <v>1</v>
      </c>
      <c r="N90" s="146" t="s">
        <v>47</v>
      </c>
      <c r="O90" s="147">
        <v>1.2999999999999999E-2</v>
      </c>
      <c r="P90" s="147">
        <f>O90*H90</f>
        <v>8.5799999999999987E-2</v>
      </c>
      <c r="Q90" s="147">
        <v>0</v>
      </c>
      <c r="R90" s="147">
        <f>Q90*H90</f>
        <v>0</v>
      </c>
      <c r="S90" s="147">
        <v>0.01</v>
      </c>
      <c r="T90" s="148">
        <f>S90*H90</f>
        <v>6.6000000000000003E-2</v>
      </c>
      <c r="AR90" s="149" t="s">
        <v>191</v>
      </c>
      <c r="AT90" s="149" t="s">
        <v>186</v>
      </c>
      <c r="AU90" s="149" t="s">
        <v>20</v>
      </c>
      <c r="AY90" s="18" t="s">
        <v>184</v>
      </c>
      <c r="BE90" s="150">
        <f>IF(N90="základní",J90,0)</f>
        <v>201.56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8" t="s">
        <v>88</v>
      </c>
      <c r="BK90" s="150">
        <f>ROUND(I90*H90,2)</f>
        <v>201.56</v>
      </c>
      <c r="BL90" s="18" t="s">
        <v>191</v>
      </c>
      <c r="BM90" s="149" t="s">
        <v>1771</v>
      </c>
    </row>
    <row r="91" spans="2:65" s="1" customFormat="1" x14ac:dyDescent="0.3">
      <c r="B91" s="33"/>
      <c r="D91" s="151" t="s">
        <v>193</v>
      </c>
      <c r="F91" s="152" t="s">
        <v>481</v>
      </c>
      <c r="I91" s="153"/>
      <c r="L91" s="33"/>
      <c r="M91" s="154"/>
      <c r="T91" s="57"/>
      <c r="AT91" s="18" t="s">
        <v>193</v>
      </c>
      <c r="AU91" s="18" t="s">
        <v>20</v>
      </c>
    </row>
    <row r="92" spans="2:65" s="12" customFormat="1" ht="11.25" x14ac:dyDescent="0.3">
      <c r="B92" s="155"/>
      <c r="D92" s="156" t="s">
        <v>195</v>
      </c>
      <c r="E92" s="157" t="s">
        <v>1</v>
      </c>
      <c r="F92" s="158" t="s">
        <v>1772</v>
      </c>
      <c r="H92" s="159">
        <v>6.6</v>
      </c>
      <c r="I92" s="160"/>
      <c r="L92" s="155"/>
      <c r="M92" s="161"/>
      <c r="T92" s="162"/>
      <c r="AT92" s="157" t="s">
        <v>195</v>
      </c>
      <c r="AU92" s="157" t="s">
        <v>20</v>
      </c>
      <c r="AV92" s="12" t="s">
        <v>20</v>
      </c>
      <c r="AW92" s="12" t="s">
        <v>37</v>
      </c>
      <c r="AX92" s="12" t="s">
        <v>88</v>
      </c>
      <c r="AY92" s="157" t="s">
        <v>184</v>
      </c>
    </row>
    <row r="93" spans="2:65" s="11" customFormat="1" ht="22.9" customHeight="1" x14ac:dyDescent="0.2">
      <c r="B93" s="127"/>
      <c r="D93" s="128" t="s">
        <v>80</v>
      </c>
      <c r="E93" s="136" t="s">
        <v>374</v>
      </c>
      <c r="F93" s="136" t="s">
        <v>375</v>
      </c>
      <c r="I93" s="171"/>
      <c r="J93" s="137">
        <f>BK93</f>
        <v>18.43</v>
      </c>
      <c r="L93" s="127"/>
      <c r="M93" s="131"/>
      <c r="P93" s="132">
        <f>SUM(P94:P95)</f>
        <v>6.0299999999999998E-3</v>
      </c>
      <c r="R93" s="132">
        <f>SUM(R94:R95)</f>
        <v>0</v>
      </c>
      <c r="T93" s="133">
        <f>SUM(T94:T95)</f>
        <v>0</v>
      </c>
      <c r="AR93" s="128" t="s">
        <v>88</v>
      </c>
      <c r="AT93" s="134" t="s">
        <v>80</v>
      </c>
      <c r="AU93" s="134" t="s">
        <v>88</v>
      </c>
      <c r="AY93" s="128" t="s">
        <v>184</v>
      </c>
      <c r="BK93" s="135">
        <f>SUM(BK94:BK95)</f>
        <v>18.43</v>
      </c>
    </row>
    <row r="94" spans="2:65" s="1" customFormat="1" ht="24.2" customHeight="1" x14ac:dyDescent="0.3">
      <c r="B94" s="33"/>
      <c r="C94" s="138" t="s">
        <v>191</v>
      </c>
      <c r="D94" s="138" t="s">
        <v>186</v>
      </c>
      <c r="E94" s="139" t="s">
        <v>664</v>
      </c>
      <c r="F94" s="140" t="s">
        <v>1773</v>
      </c>
      <c r="G94" s="141" t="s">
        <v>248</v>
      </c>
      <c r="H94" s="142">
        <v>6.0000000000000001E-3</v>
      </c>
      <c r="I94" s="143">
        <v>3071.02</v>
      </c>
      <c r="J94" s="144">
        <f>ROUND(I94*H94,2)</f>
        <v>18.43</v>
      </c>
      <c r="K94" s="140" t="s">
        <v>190</v>
      </c>
      <c r="L94" s="33"/>
      <c r="M94" s="145" t="s">
        <v>1</v>
      </c>
      <c r="N94" s="146" t="s">
        <v>47</v>
      </c>
      <c r="O94" s="147">
        <v>1.0049999999999999</v>
      </c>
      <c r="P94" s="147">
        <f>O94*H94</f>
        <v>6.0299999999999998E-3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49" t="s">
        <v>191</v>
      </c>
      <c r="AT94" s="149" t="s">
        <v>186</v>
      </c>
      <c r="AU94" s="149" t="s">
        <v>20</v>
      </c>
      <c r="AY94" s="18" t="s">
        <v>184</v>
      </c>
      <c r="BE94" s="150">
        <f>IF(N94="základní",J94,0)</f>
        <v>18.43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8" t="s">
        <v>88</v>
      </c>
      <c r="BK94" s="150">
        <f>ROUND(I94*H94,2)</f>
        <v>18.43</v>
      </c>
      <c r="BL94" s="18" t="s">
        <v>191</v>
      </c>
      <c r="BM94" s="149" t="s">
        <v>1774</v>
      </c>
    </row>
    <row r="95" spans="2:65" s="1" customFormat="1" x14ac:dyDescent="0.3">
      <c r="B95" s="33"/>
      <c r="D95" s="151" t="s">
        <v>193</v>
      </c>
      <c r="F95" s="152" t="s">
        <v>1775</v>
      </c>
      <c r="L95" s="33"/>
      <c r="M95" s="189"/>
      <c r="N95" s="190"/>
      <c r="O95" s="190"/>
      <c r="P95" s="190"/>
      <c r="Q95" s="190"/>
      <c r="R95" s="190"/>
      <c r="S95" s="190"/>
      <c r="T95" s="191"/>
      <c r="AT95" s="18" t="s">
        <v>193</v>
      </c>
      <c r="AU95" s="18" t="s">
        <v>20</v>
      </c>
    </row>
    <row r="96" spans="2:65" s="1" customFormat="1" ht="6.95" customHeight="1" x14ac:dyDescent="0.3"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33"/>
    </row>
  </sheetData>
  <sheetProtection sheet="1" objects="1" scenarios="1"/>
  <autoFilter ref="C118:K128" xr:uid="{F2D3B0F6-6289-446E-92F4-03D666727DA9}"/>
  <mergeCells count="8">
    <mergeCell ref="E48:H48"/>
    <mergeCell ref="E50:H50"/>
    <mergeCell ref="E72:H72"/>
    <mergeCell ref="E74:H74"/>
    <mergeCell ref="L2:V2"/>
    <mergeCell ref="E7:H7"/>
    <mergeCell ref="E9:H9"/>
    <mergeCell ref="E27:H27"/>
  </mergeCells>
  <hyperlinks>
    <hyperlink ref="F86" r:id="rId1" xr:uid="{F496258F-9189-4931-92D0-6961F9C1A95F}"/>
    <hyperlink ref="F89" r:id="rId2" xr:uid="{8D01C358-8BF1-45CC-9A3C-52DE309E64BE}"/>
    <hyperlink ref="F91" r:id="rId3" xr:uid="{3758AADC-0052-4FBD-87B9-E149D0241D7C}"/>
    <hyperlink ref="F95" r:id="rId4" xr:uid="{7B88EA75-2A73-4206-81CF-28D2453AD652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A6505-1531-4F16-B1CA-B068C046149A}">
  <sheetPr>
    <tabColor indexed="31"/>
    <pageSetUpPr fitToPage="1"/>
  </sheetPr>
  <dimension ref="B2:BM160"/>
  <sheetViews>
    <sheetView showGridLines="0" zoomScaleNormal="100" workbookViewId="0">
      <selection activeCell="I100" sqref="I100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132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1776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ROUND(J85, 2)</f>
        <v>587468.56000000006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ROUND((SUM(BE85:BE159)),  2)</f>
        <v>587468.56000000006</v>
      </c>
      <c r="I33" s="99">
        <v>0.21</v>
      </c>
      <c r="J33" s="98">
        <f>ROUND(((SUM(BE85:BE159))*I33),  2)</f>
        <v>123368.4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ROUND((SUM(BF85:BF159)),  2)</f>
        <v>0</v>
      </c>
      <c r="I34" s="99">
        <v>0.15</v>
      </c>
      <c r="J34" s="98">
        <f>ROUND(((SUM(BF85:BF159))*I34),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ROUND((SUM(BG85:BG159)),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ROUND((SUM(BH85:BH159)),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ROUND((SUM(BI85:BI159)),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710836.96000000008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106.II - Sjezdy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J85</f>
        <v>587468.55999999994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J86</f>
        <v>587468.55999999994</v>
      </c>
      <c r="L60" s="111"/>
    </row>
    <row r="61" spans="2:47" s="9" customFormat="1" ht="19.899999999999999" customHeight="1" x14ac:dyDescent="0.3">
      <c r="B61" s="115"/>
      <c r="D61" s="116" t="s">
        <v>161</v>
      </c>
      <c r="E61" s="117"/>
      <c r="F61" s="117"/>
      <c r="G61" s="117"/>
      <c r="H61" s="117"/>
      <c r="I61" s="117"/>
      <c r="J61" s="118">
        <f>J87</f>
        <v>59291.420000000006</v>
      </c>
      <c r="L61" s="115"/>
    </row>
    <row r="62" spans="2:47" s="9" customFormat="1" ht="19.899999999999999" customHeight="1" x14ac:dyDescent="0.3">
      <c r="B62" s="115"/>
      <c r="D62" s="116" t="s">
        <v>162</v>
      </c>
      <c r="E62" s="117"/>
      <c r="F62" s="117"/>
      <c r="G62" s="117"/>
      <c r="H62" s="117"/>
      <c r="I62" s="117"/>
      <c r="J62" s="118">
        <f>J104</f>
        <v>322135.73</v>
      </c>
      <c r="L62" s="115"/>
    </row>
    <row r="63" spans="2:47" s="9" customFormat="1" ht="19.899999999999999" customHeight="1" x14ac:dyDescent="0.3">
      <c r="B63" s="115"/>
      <c r="D63" s="116" t="s">
        <v>163</v>
      </c>
      <c r="E63" s="117"/>
      <c r="F63" s="117"/>
      <c r="G63" s="117"/>
      <c r="H63" s="117"/>
      <c r="I63" s="117"/>
      <c r="J63" s="118">
        <f>J129</f>
        <v>106362.29</v>
      </c>
      <c r="L63" s="115"/>
    </row>
    <row r="64" spans="2:47" s="9" customFormat="1" ht="19.899999999999999" customHeight="1" x14ac:dyDescent="0.3">
      <c r="B64" s="115"/>
      <c r="D64" s="116" t="s">
        <v>164</v>
      </c>
      <c r="E64" s="117"/>
      <c r="F64" s="117"/>
      <c r="G64" s="117"/>
      <c r="H64" s="117"/>
      <c r="I64" s="117"/>
      <c r="J64" s="118">
        <f>J147</f>
        <v>49582.07</v>
      </c>
      <c r="L64" s="115"/>
    </row>
    <row r="65" spans="2:12" s="9" customFormat="1" ht="19.899999999999999" customHeight="1" x14ac:dyDescent="0.3">
      <c r="B65" s="115"/>
      <c r="D65" s="116" t="s">
        <v>165</v>
      </c>
      <c r="E65" s="117"/>
      <c r="F65" s="117"/>
      <c r="G65" s="117"/>
      <c r="H65" s="117"/>
      <c r="I65" s="117"/>
      <c r="J65" s="118">
        <f>J157</f>
        <v>50097.05</v>
      </c>
      <c r="L65" s="115"/>
    </row>
    <row r="66" spans="2:12" s="1" customFormat="1" ht="21.75" customHeight="1" x14ac:dyDescent="0.3">
      <c r="B66" s="33"/>
      <c r="L66" s="33"/>
    </row>
    <row r="67" spans="2:12" s="1" customFormat="1" ht="6.95" customHeight="1" x14ac:dyDescent="0.3"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33"/>
    </row>
    <row r="71" spans="2:12" s="1" customFormat="1" ht="6.95" customHeight="1" x14ac:dyDescent="0.3"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33"/>
    </row>
    <row r="72" spans="2:12" s="1" customFormat="1" ht="24.95" customHeight="1" x14ac:dyDescent="0.3">
      <c r="B72" s="33"/>
      <c r="C72" s="22" t="s">
        <v>168</v>
      </c>
      <c r="L72" s="33"/>
    </row>
    <row r="73" spans="2:12" s="1" customFormat="1" ht="6.95" customHeight="1" x14ac:dyDescent="0.3">
      <c r="B73" s="33"/>
      <c r="L73" s="33"/>
    </row>
    <row r="74" spans="2:12" s="1" customFormat="1" ht="12" customHeight="1" x14ac:dyDescent="0.3">
      <c r="B74" s="33"/>
      <c r="C74" s="28" t="s">
        <v>15</v>
      </c>
      <c r="L74" s="33"/>
    </row>
    <row r="75" spans="2:12" s="1" customFormat="1" ht="16.5" customHeight="1" x14ac:dyDescent="0.3">
      <c r="B75" s="33"/>
      <c r="E75" s="324" t="str">
        <f>E7</f>
        <v>Obnova ulice Tyršova, Dobrovice - II. etapa</v>
      </c>
      <c r="F75" s="325"/>
      <c r="G75" s="325"/>
      <c r="H75" s="325"/>
      <c r="L75" s="33"/>
    </row>
    <row r="76" spans="2:12" s="1" customFormat="1" ht="12" customHeight="1" x14ac:dyDescent="0.3">
      <c r="B76" s="33"/>
      <c r="C76" s="28" t="s">
        <v>152</v>
      </c>
      <c r="L76" s="33"/>
    </row>
    <row r="77" spans="2:12" s="1" customFormat="1" ht="16.5" customHeight="1" x14ac:dyDescent="0.3">
      <c r="B77" s="33"/>
      <c r="E77" s="308" t="str">
        <f>E9</f>
        <v>SO 106.II - Sjezdy II. etapa</v>
      </c>
      <c r="F77" s="326"/>
      <c r="G77" s="326"/>
      <c r="H77" s="326"/>
      <c r="L77" s="33"/>
    </row>
    <row r="78" spans="2:12" s="1" customFormat="1" ht="6.95" customHeight="1" x14ac:dyDescent="0.3">
      <c r="B78" s="33"/>
      <c r="L78" s="33"/>
    </row>
    <row r="79" spans="2:12" s="1" customFormat="1" ht="12" customHeight="1" x14ac:dyDescent="0.3">
      <c r="B79" s="33"/>
      <c r="C79" s="28" t="s">
        <v>21</v>
      </c>
      <c r="F79" s="26" t="str">
        <f>F12</f>
        <v>Dobrovice</v>
      </c>
      <c r="I79" s="28" t="s">
        <v>23</v>
      </c>
      <c r="J79" s="53">
        <f>IF(J12="","",J12)</f>
        <v>45678</v>
      </c>
      <c r="L79" s="33"/>
    </row>
    <row r="80" spans="2:12" s="1" customFormat="1" ht="6.95" customHeight="1" x14ac:dyDescent="0.3">
      <c r="B80" s="33"/>
      <c r="L80" s="33"/>
    </row>
    <row r="81" spans="2:65" s="1" customFormat="1" ht="25.7" customHeight="1" x14ac:dyDescent="0.3">
      <c r="B81" s="33"/>
      <c r="C81" s="28" t="s">
        <v>28</v>
      </c>
      <c r="F81" s="26" t="str">
        <f>E15</f>
        <v>Město Dobrovice, Palckého nám. 28, 294 41</v>
      </c>
      <c r="I81" s="28" t="s">
        <v>34</v>
      </c>
      <c r="J81" s="96" t="str">
        <f>E21</f>
        <v>Ing. arch. Martin Jirovský Ph.D., MBA</v>
      </c>
      <c r="L81" s="33"/>
    </row>
    <row r="82" spans="2:65" s="1" customFormat="1" ht="40.15" customHeight="1" x14ac:dyDescent="0.3">
      <c r="B82" s="33"/>
      <c r="C82" s="28" t="s">
        <v>33</v>
      </c>
      <c r="F82" s="26">
        <f>IF(E18="","",E18)</f>
        <v>0</v>
      </c>
      <c r="I82" s="28" t="s">
        <v>38</v>
      </c>
      <c r="J82" s="96" t="str">
        <f>E24</f>
        <v>ROAD M.A.A.T. s.r.o., Petra Stejskalová</v>
      </c>
      <c r="L82" s="33"/>
    </row>
    <row r="83" spans="2:65" s="1" customFormat="1" ht="10.35" customHeight="1" x14ac:dyDescent="0.3">
      <c r="B83" s="33"/>
      <c r="L83" s="33"/>
    </row>
    <row r="84" spans="2:65" s="10" customFormat="1" ht="29.25" customHeight="1" x14ac:dyDescent="0.3">
      <c r="B84" s="119"/>
      <c r="C84" s="120" t="s">
        <v>169</v>
      </c>
      <c r="D84" s="121" t="s">
        <v>66</v>
      </c>
      <c r="E84" s="121" t="s">
        <v>63</v>
      </c>
      <c r="F84" s="121" t="s">
        <v>170</v>
      </c>
      <c r="G84" s="121" t="s">
        <v>171</v>
      </c>
      <c r="H84" s="121" t="s">
        <v>172</v>
      </c>
      <c r="I84" s="121" t="s">
        <v>173</v>
      </c>
      <c r="J84" s="121" t="s">
        <v>157</v>
      </c>
      <c r="K84" s="122" t="s">
        <v>174</v>
      </c>
      <c r="L84" s="119"/>
      <c r="M84" s="60" t="s">
        <v>1</v>
      </c>
      <c r="N84" s="61" t="s">
        <v>46</v>
      </c>
      <c r="O84" s="61" t="s">
        <v>175</v>
      </c>
      <c r="P84" s="61" t="s">
        <v>176</v>
      </c>
      <c r="Q84" s="61" t="s">
        <v>177</v>
      </c>
      <c r="R84" s="61" t="s">
        <v>178</v>
      </c>
      <c r="S84" s="61" t="s">
        <v>179</v>
      </c>
      <c r="T84" s="62" t="s">
        <v>180</v>
      </c>
    </row>
    <row r="85" spans="2:65" s="1" customFormat="1" ht="22.9" customHeight="1" x14ac:dyDescent="0.25">
      <c r="B85" s="33"/>
      <c r="C85" s="65" t="s">
        <v>181</v>
      </c>
      <c r="J85" s="123">
        <f>BK85</f>
        <v>587468.55999999994</v>
      </c>
      <c r="L85" s="33"/>
      <c r="M85" s="63"/>
      <c r="N85" s="54"/>
      <c r="O85" s="54"/>
      <c r="P85" s="124">
        <f>P86</f>
        <v>488.30557199999998</v>
      </c>
      <c r="Q85" s="54"/>
      <c r="R85" s="124">
        <f>R86</f>
        <v>164.01615199999998</v>
      </c>
      <c r="S85" s="54"/>
      <c r="T85" s="125">
        <f>T86</f>
        <v>102.304</v>
      </c>
      <c r="AT85" s="18" t="s">
        <v>80</v>
      </c>
      <c r="AU85" s="18" t="s">
        <v>159</v>
      </c>
      <c r="BK85" s="126">
        <f>BK86</f>
        <v>587468.55999999994</v>
      </c>
    </row>
    <row r="86" spans="2:65" s="11" customFormat="1" ht="25.9" customHeight="1" x14ac:dyDescent="0.2">
      <c r="B86" s="127"/>
      <c r="D86" s="128" t="s">
        <v>80</v>
      </c>
      <c r="E86" s="129" t="s">
        <v>182</v>
      </c>
      <c r="F86" s="129" t="s">
        <v>183</v>
      </c>
      <c r="J86" s="130">
        <f>BK86</f>
        <v>587468.55999999994</v>
      </c>
      <c r="L86" s="127"/>
      <c r="M86" s="131"/>
      <c r="P86" s="132">
        <f>P87+P104+P129+P147+P157</f>
        <v>488.30557199999998</v>
      </c>
      <c r="R86" s="132">
        <f>R87+R104+R129+R147+R157</f>
        <v>164.01615199999998</v>
      </c>
      <c r="T86" s="133">
        <f>T87+T104+T129+T147+T157</f>
        <v>102.304</v>
      </c>
      <c r="AR86" s="128" t="s">
        <v>88</v>
      </c>
      <c r="AT86" s="134" t="s">
        <v>80</v>
      </c>
      <c r="AU86" s="134" t="s">
        <v>81</v>
      </c>
      <c r="AY86" s="128" t="s">
        <v>184</v>
      </c>
      <c r="BK86" s="135">
        <f>BK87+BK104+BK129+BK147+BK157</f>
        <v>587468.55999999994</v>
      </c>
    </row>
    <row r="87" spans="2:65" s="11" customFormat="1" ht="22.9" customHeight="1" x14ac:dyDescent="0.2">
      <c r="B87" s="127"/>
      <c r="D87" s="128" t="s">
        <v>80</v>
      </c>
      <c r="E87" s="136" t="s">
        <v>88</v>
      </c>
      <c r="F87" s="136" t="s">
        <v>185</v>
      </c>
      <c r="J87" s="137">
        <f>BK87</f>
        <v>59291.420000000006</v>
      </c>
      <c r="L87" s="127"/>
      <c r="M87" s="131"/>
      <c r="P87" s="132">
        <f>SUM(P88:P103)</f>
        <v>117.2607</v>
      </c>
      <c r="R87" s="132">
        <f>SUM(R88:R103)</f>
        <v>0</v>
      </c>
      <c r="T87" s="133">
        <f>SUM(T88:T103)</f>
        <v>102.304</v>
      </c>
      <c r="AR87" s="128" t="s">
        <v>88</v>
      </c>
      <c r="AT87" s="134" t="s">
        <v>80</v>
      </c>
      <c r="AU87" s="134" t="s">
        <v>88</v>
      </c>
      <c r="AY87" s="128" t="s">
        <v>184</v>
      </c>
      <c r="BK87" s="135">
        <f>SUM(BK88:BK103)</f>
        <v>59291.420000000006</v>
      </c>
    </row>
    <row r="88" spans="2:65" s="1" customFormat="1" ht="44.25" customHeight="1" x14ac:dyDescent="0.3">
      <c r="B88" s="33"/>
      <c r="C88" s="138" t="s">
        <v>88</v>
      </c>
      <c r="D88" s="138" t="s">
        <v>186</v>
      </c>
      <c r="E88" s="139" t="s">
        <v>197</v>
      </c>
      <c r="F88" s="140" t="s">
        <v>1515</v>
      </c>
      <c r="G88" s="141" t="s">
        <v>189</v>
      </c>
      <c r="H88" s="142">
        <v>147.19999999999999</v>
      </c>
      <c r="I88" s="143">
        <v>45.82</v>
      </c>
      <c r="J88" s="144">
        <f>ROUND(I88*H88,2)</f>
        <v>6744.7</v>
      </c>
      <c r="K88" s="140" t="s">
        <v>190</v>
      </c>
      <c r="L88" s="33"/>
      <c r="M88" s="145" t="s">
        <v>1</v>
      </c>
      <c r="N88" s="146" t="s">
        <v>47</v>
      </c>
      <c r="O88" s="147">
        <v>0.02</v>
      </c>
      <c r="P88" s="147">
        <f>O88*H88</f>
        <v>2.944</v>
      </c>
      <c r="Q88" s="147">
        <v>0</v>
      </c>
      <c r="R88" s="147">
        <f>Q88*H88</f>
        <v>0</v>
      </c>
      <c r="S88" s="147">
        <v>0.255</v>
      </c>
      <c r="T88" s="148">
        <f>S88*H88</f>
        <v>37.535999999999994</v>
      </c>
      <c r="AR88" s="149" t="s">
        <v>191</v>
      </c>
      <c r="AT88" s="149" t="s">
        <v>186</v>
      </c>
      <c r="AU88" s="149" t="s">
        <v>20</v>
      </c>
      <c r="AY88" s="18" t="s">
        <v>184</v>
      </c>
      <c r="BE88" s="150">
        <f>IF(N88="základní",J88,0)</f>
        <v>6744.7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8" t="s">
        <v>88</v>
      </c>
      <c r="BK88" s="150">
        <f>ROUND(I88*H88,2)</f>
        <v>6744.7</v>
      </c>
      <c r="BL88" s="18" t="s">
        <v>191</v>
      </c>
      <c r="BM88" s="149" t="s">
        <v>1777</v>
      </c>
    </row>
    <row r="89" spans="2:65" s="1" customFormat="1" x14ac:dyDescent="0.3">
      <c r="B89" s="33"/>
      <c r="D89" s="151" t="s">
        <v>193</v>
      </c>
      <c r="F89" s="152" t="s">
        <v>200</v>
      </c>
      <c r="I89" s="153"/>
      <c r="L89" s="33"/>
      <c r="M89" s="154"/>
      <c r="T89" s="57"/>
      <c r="AT89" s="18" t="s">
        <v>193</v>
      </c>
      <c r="AU89" s="18" t="s">
        <v>20</v>
      </c>
    </row>
    <row r="90" spans="2:65" s="12" customFormat="1" ht="11.25" x14ac:dyDescent="0.3">
      <c r="B90" s="155"/>
      <c r="D90" s="156" t="s">
        <v>195</v>
      </c>
      <c r="E90" s="157" t="s">
        <v>1</v>
      </c>
      <c r="F90" s="158" t="s">
        <v>1778</v>
      </c>
      <c r="H90" s="159">
        <v>147.19999999999999</v>
      </c>
      <c r="I90" s="160"/>
      <c r="L90" s="155"/>
      <c r="M90" s="161"/>
      <c r="T90" s="162"/>
      <c r="AT90" s="157" t="s">
        <v>195</v>
      </c>
      <c r="AU90" s="157" t="s">
        <v>20</v>
      </c>
      <c r="AV90" s="12" t="s">
        <v>20</v>
      </c>
      <c r="AW90" s="12" t="s">
        <v>37</v>
      </c>
      <c r="AX90" s="12" t="s">
        <v>88</v>
      </c>
      <c r="AY90" s="157" t="s">
        <v>184</v>
      </c>
    </row>
    <row r="91" spans="2:65" s="1" customFormat="1" ht="37.9" customHeight="1" x14ac:dyDescent="0.3">
      <c r="B91" s="33"/>
      <c r="C91" s="138" t="s">
        <v>20</v>
      </c>
      <c r="D91" s="138" t="s">
        <v>186</v>
      </c>
      <c r="E91" s="139" t="s">
        <v>670</v>
      </c>
      <c r="F91" s="140" t="s">
        <v>1779</v>
      </c>
      <c r="G91" s="141" t="s">
        <v>189</v>
      </c>
      <c r="H91" s="142">
        <v>147.19999999999999</v>
      </c>
      <c r="I91" s="143">
        <v>137.44999999999999</v>
      </c>
      <c r="J91" s="144">
        <f>ROUND(I91*H91,2)</f>
        <v>20232.64</v>
      </c>
      <c r="K91" s="140" t="s">
        <v>190</v>
      </c>
      <c r="L91" s="33"/>
      <c r="M91" s="145" t="s">
        <v>1</v>
      </c>
      <c r="N91" s="146" t="s">
        <v>47</v>
      </c>
      <c r="O91" s="147">
        <v>0.16600000000000001</v>
      </c>
      <c r="P91" s="147">
        <f>O91*H91</f>
        <v>24.435199999999998</v>
      </c>
      <c r="Q91" s="147">
        <v>0</v>
      </c>
      <c r="R91" s="147">
        <f>Q91*H91</f>
        <v>0</v>
      </c>
      <c r="S91" s="147">
        <v>0.44</v>
      </c>
      <c r="T91" s="148">
        <f>S91*H91</f>
        <v>64.768000000000001</v>
      </c>
      <c r="AR91" s="149" t="s">
        <v>191</v>
      </c>
      <c r="AT91" s="149" t="s">
        <v>186</v>
      </c>
      <c r="AU91" s="149" t="s">
        <v>20</v>
      </c>
      <c r="AY91" s="18" t="s">
        <v>184</v>
      </c>
      <c r="BE91" s="150">
        <f>IF(N91="základní",J91,0)</f>
        <v>20232.64</v>
      </c>
      <c r="BF91" s="150">
        <f>IF(N91="snížená",J91,0)</f>
        <v>0</v>
      </c>
      <c r="BG91" s="150">
        <f>IF(N91="zákl. přenesená",J91,0)</f>
        <v>0</v>
      </c>
      <c r="BH91" s="150">
        <f>IF(N91="sníž. přenesená",J91,0)</f>
        <v>0</v>
      </c>
      <c r="BI91" s="150">
        <f>IF(N91="nulová",J91,0)</f>
        <v>0</v>
      </c>
      <c r="BJ91" s="18" t="s">
        <v>88</v>
      </c>
      <c r="BK91" s="150">
        <f>ROUND(I91*H91,2)</f>
        <v>20232.64</v>
      </c>
      <c r="BL91" s="18" t="s">
        <v>191</v>
      </c>
      <c r="BM91" s="149" t="s">
        <v>1780</v>
      </c>
    </row>
    <row r="92" spans="2:65" s="1" customFormat="1" x14ac:dyDescent="0.3">
      <c r="B92" s="33"/>
      <c r="D92" s="151" t="s">
        <v>193</v>
      </c>
      <c r="F92" s="152" t="s">
        <v>673</v>
      </c>
      <c r="I92" s="153"/>
      <c r="L92" s="33"/>
      <c r="M92" s="154"/>
      <c r="T92" s="57"/>
      <c r="AT92" s="18" t="s">
        <v>193</v>
      </c>
      <c r="AU92" s="18" t="s">
        <v>20</v>
      </c>
    </row>
    <row r="93" spans="2:65" s="12" customFormat="1" ht="11.25" x14ac:dyDescent="0.3">
      <c r="B93" s="155"/>
      <c r="D93" s="156" t="s">
        <v>195</v>
      </c>
      <c r="E93" s="157" t="s">
        <v>1</v>
      </c>
      <c r="F93" s="158" t="s">
        <v>1778</v>
      </c>
      <c r="H93" s="159">
        <v>147.19999999999999</v>
      </c>
      <c r="I93" s="160"/>
      <c r="L93" s="155"/>
      <c r="M93" s="161"/>
      <c r="T93" s="162"/>
      <c r="AT93" s="157" t="s">
        <v>195</v>
      </c>
      <c r="AU93" s="157" t="s">
        <v>20</v>
      </c>
      <c r="AV93" s="12" t="s">
        <v>20</v>
      </c>
      <c r="AW93" s="12" t="s">
        <v>37</v>
      </c>
      <c r="AX93" s="12" t="s">
        <v>88</v>
      </c>
      <c r="AY93" s="157" t="s">
        <v>184</v>
      </c>
    </row>
    <row r="94" spans="2:65" s="1" customFormat="1" ht="24.2" customHeight="1" x14ac:dyDescent="0.3">
      <c r="B94" s="33"/>
      <c r="C94" s="138" t="s">
        <v>202</v>
      </c>
      <c r="D94" s="138" t="s">
        <v>186</v>
      </c>
      <c r="E94" s="139" t="s">
        <v>222</v>
      </c>
      <c r="F94" s="140" t="s">
        <v>1452</v>
      </c>
      <c r="G94" s="141" t="s">
        <v>217</v>
      </c>
      <c r="H94" s="142">
        <v>55</v>
      </c>
      <c r="I94" s="143">
        <v>474.03</v>
      </c>
      <c r="J94" s="144">
        <f>ROUND(I94*H94,2)</f>
        <v>26071.65</v>
      </c>
      <c r="K94" s="140" t="s">
        <v>190</v>
      </c>
      <c r="L94" s="33"/>
      <c r="M94" s="145" t="s">
        <v>1</v>
      </c>
      <c r="N94" s="146" t="s">
        <v>47</v>
      </c>
      <c r="O94" s="147">
        <v>1.548</v>
      </c>
      <c r="P94" s="147">
        <f>O94*H94</f>
        <v>85.14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49" t="s">
        <v>191</v>
      </c>
      <c r="AT94" s="149" t="s">
        <v>186</v>
      </c>
      <c r="AU94" s="149" t="s">
        <v>20</v>
      </c>
      <c r="AY94" s="18" t="s">
        <v>184</v>
      </c>
      <c r="BE94" s="150">
        <f>IF(N94="základní",J94,0)</f>
        <v>26071.65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8" t="s">
        <v>88</v>
      </c>
      <c r="BK94" s="150">
        <f>ROUND(I94*H94,2)</f>
        <v>26071.65</v>
      </c>
      <c r="BL94" s="18" t="s">
        <v>191</v>
      </c>
      <c r="BM94" s="149" t="s">
        <v>1781</v>
      </c>
    </row>
    <row r="95" spans="2:65" s="1" customFormat="1" x14ac:dyDescent="0.3">
      <c r="B95" s="33"/>
      <c r="D95" s="151" t="s">
        <v>193</v>
      </c>
      <c r="F95" s="152" t="s">
        <v>225</v>
      </c>
      <c r="I95" s="153"/>
      <c r="L95" s="33"/>
      <c r="M95" s="154"/>
      <c r="T95" s="57"/>
      <c r="AT95" s="18" t="s">
        <v>193</v>
      </c>
      <c r="AU95" s="18" t="s">
        <v>20</v>
      </c>
    </row>
    <row r="96" spans="2:65" s="12" customFormat="1" ht="11.25" x14ac:dyDescent="0.3">
      <c r="B96" s="155"/>
      <c r="D96" s="156" t="s">
        <v>195</v>
      </c>
      <c r="E96" s="157" t="s">
        <v>1</v>
      </c>
      <c r="F96" s="158" t="s">
        <v>1782</v>
      </c>
      <c r="H96" s="159">
        <v>17</v>
      </c>
      <c r="I96" s="160"/>
      <c r="L96" s="155"/>
      <c r="M96" s="161"/>
      <c r="T96" s="162"/>
      <c r="AT96" s="157" t="s">
        <v>195</v>
      </c>
      <c r="AU96" s="157" t="s">
        <v>20</v>
      </c>
      <c r="AV96" s="12" t="s">
        <v>20</v>
      </c>
      <c r="AW96" s="12" t="s">
        <v>37</v>
      </c>
      <c r="AX96" s="12" t="s">
        <v>81</v>
      </c>
      <c r="AY96" s="157" t="s">
        <v>184</v>
      </c>
    </row>
    <row r="97" spans="2:65" s="12" customFormat="1" ht="11.25" x14ac:dyDescent="0.3">
      <c r="B97" s="155"/>
      <c r="D97" s="156" t="s">
        <v>195</v>
      </c>
      <c r="E97" s="157" t="s">
        <v>1</v>
      </c>
      <c r="F97" s="158" t="s">
        <v>1783</v>
      </c>
      <c r="H97" s="159">
        <v>28.5</v>
      </c>
      <c r="I97" s="160"/>
      <c r="L97" s="155"/>
      <c r="M97" s="161"/>
      <c r="T97" s="162"/>
      <c r="AT97" s="157" t="s">
        <v>195</v>
      </c>
      <c r="AU97" s="157" t="s">
        <v>20</v>
      </c>
      <c r="AV97" s="12" t="s">
        <v>20</v>
      </c>
      <c r="AW97" s="12" t="s">
        <v>37</v>
      </c>
      <c r="AX97" s="12" t="s">
        <v>81</v>
      </c>
      <c r="AY97" s="157" t="s">
        <v>184</v>
      </c>
    </row>
    <row r="98" spans="2:65" s="12" customFormat="1" ht="11.25" x14ac:dyDescent="0.3">
      <c r="B98" s="155"/>
      <c r="D98" s="156" t="s">
        <v>195</v>
      </c>
      <c r="E98" s="157" t="s">
        <v>1</v>
      </c>
      <c r="F98" s="158" t="s">
        <v>1784</v>
      </c>
      <c r="H98" s="159">
        <v>9.5</v>
      </c>
      <c r="I98" s="160"/>
      <c r="L98" s="155"/>
      <c r="M98" s="161"/>
      <c r="T98" s="162"/>
      <c r="AT98" s="157" t="s">
        <v>195</v>
      </c>
      <c r="AU98" s="157" t="s">
        <v>20</v>
      </c>
      <c r="AV98" s="12" t="s">
        <v>20</v>
      </c>
      <c r="AW98" s="12" t="s">
        <v>37</v>
      </c>
      <c r="AX98" s="12" t="s">
        <v>81</v>
      </c>
      <c r="AY98" s="157" t="s">
        <v>184</v>
      </c>
    </row>
    <row r="99" spans="2:65" s="13" customFormat="1" ht="11.25" x14ac:dyDescent="0.3">
      <c r="B99" s="163"/>
      <c r="D99" s="156" t="s">
        <v>195</v>
      </c>
      <c r="E99" s="164" t="s">
        <v>1</v>
      </c>
      <c r="F99" s="165" t="s">
        <v>230</v>
      </c>
      <c r="H99" s="166">
        <v>55</v>
      </c>
      <c r="I99" s="167"/>
      <c r="L99" s="163"/>
      <c r="M99" s="168"/>
      <c r="T99" s="169"/>
      <c r="AT99" s="164" t="s">
        <v>195</v>
      </c>
      <c r="AU99" s="164" t="s">
        <v>20</v>
      </c>
      <c r="AV99" s="13" t="s">
        <v>191</v>
      </c>
      <c r="AW99" s="13" t="s">
        <v>37</v>
      </c>
      <c r="AX99" s="13" t="s">
        <v>88</v>
      </c>
      <c r="AY99" s="164" t="s">
        <v>184</v>
      </c>
    </row>
    <row r="100" spans="2:65" s="1" customFormat="1" ht="16.5" customHeight="1" x14ac:dyDescent="0.3">
      <c r="B100" s="33"/>
      <c r="C100" s="138" t="s">
        <v>191</v>
      </c>
      <c r="D100" s="138" t="s">
        <v>186</v>
      </c>
      <c r="E100" s="139" t="s">
        <v>258</v>
      </c>
      <c r="F100" s="140" t="s">
        <v>1475</v>
      </c>
      <c r="G100" s="141" t="s">
        <v>189</v>
      </c>
      <c r="H100" s="142">
        <v>163.5</v>
      </c>
      <c r="I100" s="143">
        <v>38.18</v>
      </c>
      <c r="J100" s="144">
        <f>ROUND(I100*H100,2)</f>
        <v>6242.43</v>
      </c>
      <c r="K100" s="140" t="s">
        <v>190</v>
      </c>
      <c r="L100" s="33"/>
      <c r="M100" s="145" t="s">
        <v>1</v>
      </c>
      <c r="N100" s="146" t="s">
        <v>47</v>
      </c>
      <c r="O100" s="147">
        <v>2.9000000000000001E-2</v>
      </c>
      <c r="P100" s="147">
        <f>O100*H100</f>
        <v>4.7415000000000003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49" t="s">
        <v>191</v>
      </c>
      <c r="AT100" s="149" t="s">
        <v>186</v>
      </c>
      <c r="AU100" s="149" t="s">
        <v>20</v>
      </c>
      <c r="AY100" s="18" t="s">
        <v>184</v>
      </c>
      <c r="BE100" s="150">
        <f>IF(N100="základní",J100,0)</f>
        <v>6242.43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8" t="s">
        <v>88</v>
      </c>
      <c r="BK100" s="150">
        <f>ROUND(I100*H100,2)</f>
        <v>6242.43</v>
      </c>
      <c r="BL100" s="18" t="s">
        <v>191</v>
      </c>
      <c r="BM100" s="149" t="s">
        <v>1785</v>
      </c>
    </row>
    <row r="101" spans="2:65" s="1" customFormat="1" x14ac:dyDescent="0.3">
      <c r="B101" s="33"/>
      <c r="D101" s="151" t="s">
        <v>193</v>
      </c>
      <c r="F101" s="152" t="s">
        <v>1477</v>
      </c>
      <c r="I101" s="153"/>
      <c r="L101" s="33"/>
      <c r="M101" s="154"/>
      <c r="T101" s="57"/>
      <c r="AT101" s="18" t="s">
        <v>193</v>
      </c>
      <c r="AU101" s="18" t="s">
        <v>20</v>
      </c>
    </row>
    <row r="102" spans="2:65" s="1" customFormat="1" ht="19.5" x14ac:dyDescent="0.3">
      <c r="B102" s="33"/>
      <c r="D102" s="156" t="s">
        <v>236</v>
      </c>
      <c r="F102" s="170" t="s">
        <v>261</v>
      </c>
      <c r="I102" s="153"/>
      <c r="L102" s="33"/>
      <c r="M102" s="154"/>
      <c r="T102" s="57"/>
      <c r="AT102" s="18" t="s">
        <v>236</v>
      </c>
      <c r="AU102" s="18" t="s">
        <v>20</v>
      </c>
    </row>
    <row r="103" spans="2:65" s="12" customFormat="1" ht="11.25" x14ac:dyDescent="0.3">
      <c r="B103" s="155"/>
      <c r="D103" s="156" t="s">
        <v>195</v>
      </c>
      <c r="E103" s="157" t="s">
        <v>1</v>
      </c>
      <c r="F103" s="158" t="s">
        <v>1786</v>
      </c>
      <c r="H103" s="159">
        <v>163.5</v>
      </c>
      <c r="I103" s="160"/>
      <c r="L103" s="155"/>
      <c r="M103" s="161"/>
      <c r="T103" s="162"/>
      <c r="AT103" s="157" t="s">
        <v>195</v>
      </c>
      <c r="AU103" s="157" t="s">
        <v>20</v>
      </c>
      <c r="AV103" s="12" t="s">
        <v>20</v>
      </c>
      <c r="AW103" s="12" t="s">
        <v>37</v>
      </c>
      <c r="AX103" s="12" t="s">
        <v>88</v>
      </c>
      <c r="AY103" s="157" t="s">
        <v>184</v>
      </c>
    </row>
    <row r="104" spans="2:65" s="11" customFormat="1" ht="22.9" customHeight="1" x14ac:dyDescent="0.2">
      <c r="B104" s="127"/>
      <c r="D104" s="128" t="s">
        <v>80</v>
      </c>
      <c r="E104" s="136" t="s">
        <v>214</v>
      </c>
      <c r="F104" s="136" t="s">
        <v>263</v>
      </c>
      <c r="I104" s="171"/>
      <c r="J104" s="137">
        <f>BK104</f>
        <v>322135.73</v>
      </c>
      <c r="L104" s="127"/>
      <c r="M104" s="131"/>
      <c r="P104" s="132">
        <f>SUM(P105:P128)</f>
        <v>109.73099999999999</v>
      </c>
      <c r="R104" s="132">
        <f>SUM(R105:R128)</f>
        <v>138.14673399999998</v>
      </c>
      <c r="T104" s="133">
        <f>SUM(T105:T128)</f>
        <v>0</v>
      </c>
      <c r="AR104" s="128" t="s">
        <v>88</v>
      </c>
      <c r="AT104" s="134" t="s">
        <v>80</v>
      </c>
      <c r="AU104" s="134" t="s">
        <v>88</v>
      </c>
      <c r="AY104" s="128" t="s">
        <v>184</v>
      </c>
      <c r="BK104" s="135">
        <f>SUM(BK105:BK128)</f>
        <v>322135.73</v>
      </c>
    </row>
    <row r="105" spans="2:65" s="1" customFormat="1" ht="37.9" customHeight="1" x14ac:dyDescent="0.3">
      <c r="B105" s="33"/>
      <c r="C105" s="138" t="s">
        <v>214</v>
      </c>
      <c r="D105" s="138" t="s">
        <v>186</v>
      </c>
      <c r="E105" s="139" t="s">
        <v>265</v>
      </c>
      <c r="F105" s="140" t="s">
        <v>1479</v>
      </c>
      <c r="G105" s="141" t="s">
        <v>189</v>
      </c>
      <c r="H105" s="142">
        <v>163.5</v>
      </c>
      <c r="I105" s="143">
        <v>360.97</v>
      </c>
      <c r="J105" s="144">
        <f>ROUND(I105*H105,2)</f>
        <v>59018.6</v>
      </c>
      <c r="K105" s="140" t="s">
        <v>190</v>
      </c>
      <c r="L105" s="33"/>
      <c r="M105" s="145" t="s">
        <v>1</v>
      </c>
      <c r="N105" s="146" t="s">
        <v>47</v>
      </c>
      <c r="O105" s="147">
        <v>4.4999999999999998E-2</v>
      </c>
      <c r="P105" s="147">
        <f>O105*H105</f>
        <v>7.3574999999999999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AR105" s="149" t="s">
        <v>191</v>
      </c>
      <c r="AT105" s="149" t="s">
        <v>186</v>
      </c>
      <c r="AU105" s="149" t="s">
        <v>20</v>
      </c>
      <c r="AY105" s="18" t="s">
        <v>184</v>
      </c>
      <c r="BE105" s="150">
        <f>IF(N105="základní",J105,0)</f>
        <v>59018.6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8" t="s">
        <v>88</v>
      </c>
      <c r="BK105" s="150">
        <f>ROUND(I105*H105,2)</f>
        <v>59018.6</v>
      </c>
      <c r="BL105" s="18" t="s">
        <v>191</v>
      </c>
      <c r="BM105" s="149" t="s">
        <v>1787</v>
      </c>
    </row>
    <row r="106" spans="2:65" s="1" customFormat="1" x14ac:dyDescent="0.3">
      <c r="B106" s="33"/>
      <c r="D106" s="151" t="s">
        <v>193</v>
      </c>
      <c r="F106" s="152" t="s">
        <v>268</v>
      </c>
      <c r="I106" s="153"/>
      <c r="L106" s="33"/>
      <c r="M106" s="154"/>
      <c r="T106" s="57"/>
      <c r="AT106" s="18" t="s">
        <v>193</v>
      </c>
      <c r="AU106" s="18" t="s">
        <v>20</v>
      </c>
    </row>
    <row r="107" spans="2:65" s="1" customFormat="1" ht="19.5" x14ac:dyDescent="0.3">
      <c r="B107" s="33"/>
      <c r="D107" s="156" t="s">
        <v>236</v>
      </c>
      <c r="F107" s="170" t="s">
        <v>261</v>
      </c>
      <c r="I107" s="153"/>
      <c r="L107" s="33"/>
      <c r="M107" s="154"/>
      <c r="T107" s="57"/>
      <c r="AT107" s="18" t="s">
        <v>236</v>
      </c>
      <c r="AU107" s="18" t="s">
        <v>20</v>
      </c>
    </row>
    <row r="108" spans="2:65" s="12" customFormat="1" ht="11.25" x14ac:dyDescent="0.3">
      <c r="B108" s="155"/>
      <c r="D108" s="156" t="s">
        <v>195</v>
      </c>
      <c r="E108" s="157" t="s">
        <v>1</v>
      </c>
      <c r="F108" s="158" t="s">
        <v>1786</v>
      </c>
      <c r="H108" s="159">
        <v>163.5</v>
      </c>
      <c r="I108" s="160"/>
      <c r="L108" s="155"/>
      <c r="M108" s="161"/>
      <c r="T108" s="162"/>
      <c r="AT108" s="157" t="s">
        <v>195</v>
      </c>
      <c r="AU108" s="157" t="s">
        <v>20</v>
      </c>
      <c r="AV108" s="12" t="s">
        <v>20</v>
      </c>
      <c r="AW108" s="12" t="s">
        <v>37</v>
      </c>
      <c r="AX108" s="12" t="s">
        <v>88</v>
      </c>
      <c r="AY108" s="157" t="s">
        <v>184</v>
      </c>
    </row>
    <row r="109" spans="2:65" s="1" customFormat="1" ht="16.5" customHeight="1" x14ac:dyDescent="0.3">
      <c r="B109" s="33"/>
      <c r="C109" s="172" t="s">
        <v>221</v>
      </c>
      <c r="D109" s="172" t="s">
        <v>271</v>
      </c>
      <c r="E109" s="173" t="s">
        <v>272</v>
      </c>
      <c r="F109" s="174" t="s">
        <v>273</v>
      </c>
      <c r="G109" s="175" t="s">
        <v>248</v>
      </c>
      <c r="H109" s="176">
        <v>6.0000000000000001E-3</v>
      </c>
      <c r="I109" s="177">
        <v>8063.96</v>
      </c>
      <c r="J109" s="178">
        <f>ROUND(I109*H109,2)</f>
        <v>48.38</v>
      </c>
      <c r="K109" s="174" t="s">
        <v>190</v>
      </c>
      <c r="L109" s="179"/>
      <c r="M109" s="180" t="s">
        <v>1</v>
      </c>
      <c r="N109" s="181" t="s">
        <v>47</v>
      </c>
      <c r="O109" s="147">
        <v>0</v>
      </c>
      <c r="P109" s="147">
        <f>O109*H109</f>
        <v>0</v>
      </c>
      <c r="Q109" s="147">
        <v>1</v>
      </c>
      <c r="R109" s="147">
        <f>Q109*H109</f>
        <v>6.0000000000000001E-3</v>
      </c>
      <c r="S109" s="147">
        <v>0</v>
      </c>
      <c r="T109" s="148">
        <f>S109*H109</f>
        <v>0</v>
      </c>
      <c r="AR109" s="149" t="s">
        <v>239</v>
      </c>
      <c r="AT109" s="149" t="s">
        <v>271</v>
      </c>
      <c r="AU109" s="149" t="s">
        <v>20</v>
      </c>
      <c r="AY109" s="18" t="s">
        <v>184</v>
      </c>
      <c r="BE109" s="150">
        <f>IF(N109="základní",J109,0)</f>
        <v>48.38</v>
      </c>
      <c r="BF109" s="150">
        <f>IF(N109="snížená",J109,0)</f>
        <v>0</v>
      </c>
      <c r="BG109" s="150">
        <f>IF(N109="zákl. přenesená",J109,0)</f>
        <v>0</v>
      </c>
      <c r="BH109" s="150">
        <f>IF(N109="sníž. přenesená",J109,0)</f>
        <v>0</v>
      </c>
      <c r="BI109" s="150">
        <f>IF(N109="nulová",J109,0)</f>
        <v>0</v>
      </c>
      <c r="BJ109" s="18" t="s">
        <v>88</v>
      </c>
      <c r="BK109" s="150">
        <f>ROUND(I109*H109,2)</f>
        <v>48.38</v>
      </c>
      <c r="BL109" s="18" t="s">
        <v>191</v>
      </c>
      <c r="BM109" s="149" t="s">
        <v>1788</v>
      </c>
    </row>
    <row r="110" spans="2:65" s="12" customFormat="1" ht="11.25" x14ac:dyDescent="0.3">
      <c r="B110" s="155"/>
      <c r="D110" s="156" t="s">
        <v>195</v>
      </c>
      <c r="E110" s="157" t="s">
        <v>1</v>
      </c>
      <c r="F110" s="158" t="s">
        <v>1789</v>
      </c>
      <c r="H110" s="159">
        <v>6.0000000000000001E-3</v>
      </c>
      <c r="I110" s="160"/>
      <c r="L110" s="155"/>
      <c r="M110" s="161"/>
      <c r="T110" s="162"/>
      <c r="AT110" s="157" t="s">
        <v>195</v>
      </c>
      <c r="AU110" s="157" t="s">
        <v>20</v>
      </c>
      <c r="AV110" s="12" t="s">
        <v>20</v>
      </c>
      <c r="AW110" s="12" t="s">
        <v>37</v>
      </c>
      <c r="AX110" s="12" t="s">
        <v>88</v>
      </c>
      <c r="AY110" s="157" t="s">
        <v>184</v>
      </c>
    </row>
    <row r="111" spans="2:65" s="1" customFormat="1" ht="21.75" customHeight="1" x14ac:dyDescent="0.3">
      <c r="B111" s="33"/>
      <c r="C111" s="138" t="s">
        <v>231</v>
      </c>
      <c r="D111" s="138" t="s">
        <v>186</v>
      </c>
      <c r="E111" s="139" t="s">
        <v>277</v>
      </c>
      <c r="F111" s="140" t="s">
        <v>1549</v>
      </c>
      <c r="G111" s="141" t="s">
        <v>189</v>
      </c>
      <c r="H111" s="142">
        <v>163.5</v>
      </c>
      <c r="I111" s="143">
        <v>392.36</v>
      </c>
      <c r="J111" s="144">
        <f>ROUND(I111*H111,2)</f>
        <v>64150.86</v>
      </c>
      <c r="K111" s="140" t="s">
        <v>190</v>
      </c>
      <c r="L111" s="33"/>
      <c r="M111" s="145" t="s">
        <v>1</v>
      </c>
      <c r="N111" s="146" t="s">
        <v>47</v>
      </c>
      <c r="O111" s="147">
        <v>3.1E-2</v>
      </c>
      <c r="P111" s="147">
        <f>O111*H111</f>
        <v>5.0685000000000002</v>
      </c>
      <c r="Q111" s="147">
        <v>0.57499999999999996</v>
      </c>
      <c r="R111" s="147">
        <f>Q111*H111</f>
        <v>94.012499999999989</v>
      </c>
      <c r="S111" s="147">
        <v>0</v>
      </c>
      <c r="T111" s="148">
        <f>S111*H111</f>
        <v>0</v>
      </c>
      <c r="AR111" s="149" t="s">
        <v>191</v>
      </c>
      <c r="AT111" s="149" t="s">
        <v>186</v>
      </c>
      <c r="AU111" s="149" t="s">
        <v>20</v>
      </c>
      <c r="AY111" s="18" t="s">
        <v>184</v>
      </c>
      <c r="BE111" s="150">
        <f>IF(N111="základní",J111,0)</f>
        <v>64150.86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8" t="s">
        <v>88</v>
      </c>
      <c r="BK111" s="150">
        <f>ROUND(I111*H111,2)</f>
        <v>64150.86</v>
      </c>
      <c r="BL111" s="18" t="s">
        <v>191</v>
      </c>
      <c r="BM111" s="149" t="s">
        <v>1790</v>
      </c>
    </row>
    <row r="112" spans="2:65" s="1" customFormat="1" x14ac:dyDescent="0.3">
      <c r="B112" s="33"/>
      <c r="D112" s="151" t="s">
        <v>193</v>
      </c>
      <c r="F112" s="152" t="s">
        <v>280</v>
      </c>
      <c r="I112" s="153"/>
      <c r="L112" s="33"/>
      <c r="M112" s="154"/>
      <c r="T112" s="57"/>
      <c r="AT112" s="18" t="s">
        <v>193</v>
      </c>
      <c r="AU112" s="18" t="s">
        <v>20</v>
      </c>
    </row>
    <row r="113" spans="2:65" s="1" customFormat="1" ht="19.5" x14ac:dyDescent="0.3">
      <c r="B113" s="33"/>
      <c r="D113" s="156" t="s">
        <v>236</v>
      </c>
      <c r="F113" s="170" t="s">
        <v>281</v>
      </c>
      <c r="I113" s="153"/>
      <c r="L113" s="33"/>
      <c r="M113" s="154"/>
      <c r="T113" s="57"/>
      <c r="AT113" s="18" t="s">
        <v>236</v>
      </c>
      <c r="AU113" s="18" t="s">
        <v>20</v>
      </c>
    </row>
    <row r="114" spans="2:65" s="12" customFormat="1" ht="11.25" x14ac:dyDescent="0.3">
      <c r="B114" s="155"/>
      <c r="D114" s="156" t="s">
        <v>195</v>
      </c>
      <c r="E114" s="157" t="s">
        <v>1</v>
      </c>
      <c r="F114" s="158" t="s">
        <v>1791</v>
      </c>
      <c r="H114" s="159">
        <v>163.5</v>
      </c>
      <c r="I114" s="160"/>
      <c r="L114" s="155"/>
      <c r="M114" s="161"/>
      <c r="T114" s="162"/>
      <c r="AT114" s="157" t="s">
        <v>195</v>
      </c>
      <c r="AU114" s="157" t="s">
        <v>20</v>
      </c>
      <c r="AV114" s="12" t="s">
        <v>20</v>
      </c>
      <c r="AW114" s="12" t="s">
        <v>37</v>
      </c>
      <c r="AX114" s="12" t="s">
        <v>88</v>
      </c>
      <c r="AY114" s="157" t="s">
        <v>184</v>
      </c>
    </row>
    <row r="115" spans="2:65" s="1" customFormat="1" ht="44.25" customHeight="1" x14ac:dyDescent="0.3">
      <c r="B115" s="33"/>
      <c r="C115" s="138" t="s">
        <v>239</v>
      </c>
      <c r="D115" s="138" t="s">
        <v>186</v>
      </c>
      <c r="E115" s="139" t="s">
        <v>698</v>
      </c>
      <c r="F115" s="140" t="s">
        <v>1635</v>
      </c>
      <c r="G115" s="141" t="s">
        <v>189</v>
      </c>
      <c r="H115" s="142">
        <v>163.5</v>
      </c>
      <c r="I115" s="143">
        <v>674.87</v>
      </c>
      <c r="J115" s="144">
        <f>ROUND(I115*H115,2)</f>
        <v>110341.25</v>
      </c>
      <c r="K115" s="140" t="s">
        <v>190</v>
      </c>
      <c r="L115" s="33"/>
      <c r="M115" s="145" t="s">
        <v>1</v>
      </c>
      <c r="N115" s="146" t="s">
        <v>47</v>
      </c>
      <c r="O115" s="147">
        <v>0.59</v>
      </c>
      <c r="P115" s="147">
        <f>O115*H115</f>
        <v>96.464999999999989</v>
      </c>
      <c r="Q115" s="147">
        <v>9.0620000000000006E-2</v>
      </c>
      <c r="R115" s="147">
        <f>Q115*H115</f>
        <v>14.816370000000001</v>
      </c>
      <c r="S115" s="147">
        <v>0</v>
      </c>
      <c r="T115" s="148">
        <f>S115*H115</f>
        <v>0</v>
      </c>
      <c r="AR115" s="149" t="s">
        <v>191</v>
      </c>
      <c r="AT115" s="149" t="s">
        <v>186</v>
      </c>
      <c r="AU115" s="149" t="s">
        <v>20</v>
      </c>
      <c r="AY115" s="18" t="s">
        <v>184</v>
      </c>
      <c r="BE115" s="150">
        <f>IF(N115="základní",J115,0)</f>
        <v>110341.25</v>
      </c>
      <c r="BF115" s="150">
        <f>IF(N115="snížená",J115,0)</f>
        <v>0</v>
      </c>
      <c r="BG115" s="150">
        <f>IF(N115="zákl. přenesená",J115,0)</f>
        <v>0</v>
      </c>
      <c r="BH115" s="150">
        <f>IF(N115="sníž. přenesená",J115,0)</f>
        <v>0</v>
      </c>
      <c r="BI115" s="150">
        <f>IF(N115="nulová",J115,0)</f>
        <v>0</v>
      </c>
      <c r="BJ115" s="18" t="s">
        <v>88</v>
      </c>
      <c r="BK115" s="150">
        <f>ROUND(I115*H115,2)</f>
        <v>110341.25</v>
      </c>
      <c r="BL115" s="18" t="s">
        <v>191</v>
      </c>
      <c r="BM115" s="149" t="s">
        <v>1792</v>
      </c>
    </row>
    <row r="116" spans="2:65" s="1" customFormat="1" x14ac:dyDescent="0.3">
      <c r="B116" s="33"/>
      <c r="D116" s="151" t="s">
        <v>193</v>
      </c>
      <c r="F116" s="152" t="s">
        <v>701</v>
      </c>
      <c r="I116" s="153"/>
      <c r="L116" s="33"/>
      <c r="M116" s="154"/>
      <c r="T116" s="57"/>
      <c r="AT116" s="18" t="s">
        <v>193</v>
      </c>
      <c r="AU116" s="18" t="s">
        <v>20</v>
      </c>
    </row>
    <row r="117" spans="2:65" s="12" customFormat="1" ht="11.25" x14ac:dyDescent="0.3">
      <c r="B117" s="155"/>
      <c r="D117" s="156" t="s">
        <v>195</v>
      </c>
      <c r="E117" s="157" t="s">
        <v>1</v>
      </c>
      <c r="F117" s="158" t="s">
        <v>1793</v>
      </c>
      <c r="H117" s="159">
        <v>163.5</v>
      </c>
      <c r="I117" s="160"/>
      <c r="L117" s="155"/>
      <c r="M117" s="161"/>
      <c r="T117" s="162"/>
      <c r="AT117" s="157" t="s">
        <v>195</v>
      </c>
      <c r="AU117" s="157" t="s">
        <v>20</v>
      </c>
      <c r="AV117" s="12" t="s">
        <v>20</v>
      </c>
      <c r="AW117" s="12" t="s">
        <v>37</v>
      </c>
      <c r="AX117" s="12" t="s">
        <v>88</v>
      </c>
      <c r="AY117" s="157" t="s">
        <v>184</v>
      </c>
    </row>
    <row r="118" spans="2:65" s="1" customFormat="1" ht="16.5" customHeight="1" x14ac:dyDescent="0.3">
      <c r="B118" s="33"/>
      <c r="C118" s="172" t="s">
        <v>245</v>
      </c>
      <c r="D118" s="172" t="s">
        <v>271</v>
      </c>
      <c r="E118" s="173" t="s">
        <v>453</v>
      </c>
      <c r="F118" s="174" t="s">
        <v>454</v>
      </c>
      <c r="G118" s="175" t="s">
        <v>189</v>
      </c>
      <c r="H118" s="176">
        <v>151.53100000000001</v>
      </c>
      <c r="I118" s="177">
        <v>454.89</v>
      </c>
      <c r="J118" s="178">
        <f>ROUND(I118*H118,2)</f>
        <v>68929.94</v>
      </c>
      <c r="K118" s="174" t="s">
        <v>190</v>
      </c>
      <c r="L118" s="179"/>
      <c r="M118" s="180" t="s">
        <v>1</v>
      </c>
      <c r="N118" s="181" t="s">
        <v>47</v>
      </c>
      <c r="O118" s="147">
        <v>0</v>
      </c>
      <c r="P118" s="147">
        <f>O118*H118</f>
        <v>0</v>
      </c>
      <c r="Q118" s="147">
        <v>0.17599999999999999</v>
      </c>
      <c r="R118" s="147">
        <f>Q118*H118</f>
        <v>26.669456</v>
      </c>
      <c r="S118" s="147">
        <v>0</v>
      </c>
      <c r="T118" s="148">
        <f>S118*H118</f>
        <v>0</v>
      </c>
      <c r="AR118" s="149" t="s">
        <v>239</v>
      </c>
      <c r="AT118" s="149" t="s">
        <v>271</v>
      </c>
      <c r="AU118" s="149" t="s">
        <v>20</v>
      </c>
      <c r="AY118" s="18" t="s">
        <v>184</v>
      </c>
      <c r="BE118" s="150">
        <f>IF(N118="základní",J118,0)</f>
        <v>68929.94</v>
      </c>
      <c r="BF118" s="150">
        <f>IF(N118="snížená",J118,0)</f>
        <v>0</v>
      </c>
      <c r="BG118" s="150">
        <f>IF(N118="zákl. přenesená",J118,0)</f>
        <v>0</v>
      </c>
      <c r="BH118" s="150">
        <f>IF(N118="sníž. přenesená",J118,0)</f>
        <v>0</v>
      </c>
      <c r="BI118" s="150">
        <f>IF(N118="nulová",J118,0)</f>
        <v>0</v>
      </c>
      <c r="BJ118" s="18" t="s">
        <v>88</v>
      </c>
      <c r="BK118" s="150">
        <f>ROUND(I118*H118,2)</f>
        <v>68929.94</v>
      </c>
      <c r="BL118" s="18" t="s">
        <v>191</v>
      </c>
      <c r="BM118" s="149" t="s">
        <v>1794</v>
      </c>
    </row>
    <row r="119" spans="2:65" s="12" customFormat="1" ht="11.25" x14ac:dyDescent="0.3">
      <c r="B119" s="155"/>
      <c r="D119" s="156" t="s">
        <v>195</v>
      </c>
      <c r="E119" s="157" t="s">
        <v>1</v>
      </c>
      <c r="F119" s="158" t="s">
        <v>1795</v>
      </c>
      <c r="H119" s="159">
        <v>148.56</v>
      </c>
      <c r="I119" s="160"/>
      <c r="L119" s="155"/>
      <c r="M119" s="161"/>
      <c r="T119" s="162"/>
      <c r="AT119" s="157" t="s">
        <v>195</v>
      </c>
      <c r="AU119" s="157" t="s">
        <v>20</v>
      </c>
      <c r="AV119" s="12" t="s">
        <v>20</v>
      </c>
      <c r="AW119" s="12" t="s">
        <v>37</v>
      </c>
      <c r="AX119" s="12" t="s">
        <v>81</v>
      </c>
      <c r="AY119" s="157" t="s">
        <v>184</v>
      </c>
    </row>
    <row r="120" spans="2:65" s="12" customFormat="1" ht="11.25" x14ac:dyDescent="0.3">
      <c r="B120" s="155"/>
      <c r="D120" s="156" t="s">
        <v>195</v>
      </c>
      <c r="E120" s="157" t="s">
        <v>1</v>
      </c>
      <c r="F120" s="158" t="s">
        <v>1796</v>
      </c>
      <c r="H120" s="159">
        <v>151.53100000000001</v>
      </c>
      <c r="I120" s="160"/>
      <c r="L120" s="155"/>
      <c r="M120" s="161"/>
      <c r="T120" s="162"/>
      <c r="AT120" s="157" t="s">
        <v>195</v>
      </c>
      <c r="AU120" s="157" t="s">
        <v>20</v>
      </c>
      <c r="AV120" s="12" t="s">
        <v>20</v>
      </c>
      <c r="AW120" s="12" t="s">
        <v>37</v>
      </c>
      <c r="AX120" s="12" t="s">
        <v>88</v>
      </c>
      <c r="AY120" s="157" t="s">
        <v>184</v>
      </c>
    </row>
    <row r="121" spans="2:65" s="1" customFormat="1" ht="16.5" customHeight="1" x14ac:dyDescent="0.3">
      <c r="B121" s="33"/>
      <c r="C121" s="172" t="s">
        <v>252</v>
      </c>
      <c r="D121" s="172" t="s">
        <v>271</v>
      </c>
      <c r="E121" s="173" t="s">
        <v>706</v>
      </c>
      <c r="F121" s="174" t="s">
        <v>707</v>
      </c>
      <c r="G121" s="175" t="s">
        <v>189</v>
      </c>
      <c r="H121" s="176">
        <v>12.526</v>
      </c>
      <c r="I121" s="177">
        <v>647.85</v>
      </c>
      <c r="J121" s="178">
        <f>ROUND(I121*H121,2)</f>
        <v>8114.97</v>
      </c>
      <c r="K121" s="174" t="s">
        <v>190</v>
      </c>
      <c r="L121" s="179"/>
      <c r="M121" s="180" t="s">
        <v>1</v>
      </c>
      <c r="N121" s="181" t="s">
        <v>47</v>
      </c>
      <c r="O121" s="147">
        <v>0</v>
      </c>
      <c r="P121" s="147">
        <f>O121*H121</f>
        <v>0</v>
      </c>
      <c r="Q121" s="147">
        <v>0.17499999999999999</v>
      </c>
      <c r="R121" s="147">
        <f>Q121*H121</f>
        <v>2.1920499999999996</v>
      </c>
      <c r="S121" s="147">
        <v>0</v>
      </c>
      <c r="T121" s="148">
        <f>S121*H121</f>
        <v>0</v>
      </c>
      <c r="AR121" s="149" t="s">
        <v>239</v>
      </c>
      <c r="AT121" s="149" t="s">
        <v>271</v>
      </c>
      <c r="AU121" s="149" t="s">
        <v>20</v>
      </c>
      <c r="AY121" s="18" t="s">
        <v>184</v>
      </c>
      <c r="BE121" s="150">
        <f>IF(N121="základní",J121,0)</f>
        <v>8114.97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8" t="s">
        <v>88</v>
      </c>
      <c r="BK121" s="150">
        <f>ROUND(I121*H121,2)</f>
        <v>8114.97</v>
      </c>
      <c r="BL121" s="18" t="s">
        <v>191</v>
      </c>
      <c r="BM121" s="149" t="s">
        <v>1797</v>
      </c>
    </row>
    <row r="122" spans="2:65" s="12" customFormat="1" ht="11.25" x14ac:dyDescent="0.3">
      <c r="B122" s="155"/>
      <c r="D122" s="156" t="s">
        <v>195</v>
      </c>
      <c r="E122" s="157" t="s">
        <v>1</v>
      </c>
      <c r="F122" s="158" t="s">
        <v>1798</v>
      </c>
      <c r="H122" s="159">
        <v>12.28</v>
      </c>
      <c r="I122" s="160"/>
      <c r="L122" s="155"/>
      <c r="M122" s="161"/>
      <c r="T122" s="162"/>
      <c r="AT122" s="157" t="s">
        <v>195</v>
      </c>
      <c r="AU122" s="157" t="s">
        <v>20</v>
      </c>
      <c r="AV122" s="12" t="s">
        <v>20</v>
      </c>
      <c r="AW122" s="12" t="s">
        <v>37</v>
      </c>
      <c r="AX122" s="12" t="s">
        <v>81</v>
      </c>
      <c r="AY122" s="157" t="s">
        <v>184</v>
      </c>
    </row>
    <row r="123" spans="2:65" s="12" customFormat="1" ht="11.25" x14ac:dyDescent="0.3">
      <c r="B123" s="155"/>
      <c r="D123" s="156" t="s">
        <v>195</v>
      </c>
      <c r="E123" s="157" t="s">
        <v>1</v>
      </c>
      <c r="F123" s="158" t="s">
        <v>1799</v>
      </c>
      <c r="H123" s="159">
        <v>12.526</v>
      </c>
      <c r="I123" s="160"/>
      <c r="L123" s="155"/>
      <c r="M123" s="161"/>
      <c r="T123" s="162"/>
      <c r="AT123" s="157" t="s">
        <v>195</v>
      </c>
      <c r="AU123" s="157" t="s">
        <v>20</v>
      </c>
      <c r="AV123" s="12" t="s">
        <v>20</v>
      </c>
      <c r="AW123" s="12" t="s">
        <v>37</v>
      </c>
      <c r="AX123" s="12" t="s">
        <v>88</v>
      </c>
      <c r="AY123" s="157" t="s">
        <v>184</v>
      </c>
    </row>
    <row r="124" spans="2:65" s="1" customFormat="1" ht="16.5" customHeight="1" x14ac:dyDescent="0.3">
      <c r="B124" s="33"/>
      <c r="C124" s="172" t="s">
        <v>257</v>
      </c>
      <c r="D124" s="172" t="s">
        <v>271</v>
      </c>
      <c r="E124" s="173" t="s">
        <v>1800</v>
      </c>
      <c r="F124" s="174" t="s">
        <v>1801</v>
      </c>
      <c r="G124" s="175" t="s">
        <v>189</v>
      </c>
      <c r="H124" s="176">
        <v>2.7130000000000001</v>
      </c>
      <c r="I124" s="177">
        <v>768.04</v>
      </c>
      <c r="J124" s="178">
        <f>ROUND(I124*H124,2)</f>
        <v>2083.69</v>
      </c>
      <c r="K124" s="174" t="s">
        <v>1</v>
      </c>
      <c r="L124" s="179"/>
      <c r="M124" s="180" t="s">
        <v>1</v>
      </c>
      <c r="N124" s="181" t="s">
        <v>47</v>
      </c>
      <c r="O124" s="147">
        <v>0</v>
      </c>
      <c r="P124" s="147">
        <f>O124*H124</f>
        <v>0</v>
      </c>
      <c r="Q124" s="147">
        <v>0.16600000000000001</v>
      </c>
      <c r="R124" s="147">
        <f>Q124*H124</f>
        <v>0.45035800000000004</v>
      </c>
      <c r="S124" s="147">
        <v>0</v>
      </c>
      <c r="T124" s="148">
        <f>S124*H124</f>
        <v>0</v>
      </c>
      <c r="AR124" s="149" t="s">
        <v>239</v>
      </c>
      <c r="AT124" s="149" t="s">
        <v>271</v>
      </c>
      <c r="AU124" s="149" t="s">
        <v>20</v>
      </c>
      <c r="AY124" s="18" t="s">
        <v>184</v>
      </c>
      <c r="BE124" s="150">
        <f>IF(N124="základní",J124,0)</f>
        <v>2083.69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8" t="s">
        <v>88</v>
      </c>
      <c r="BK124" s="150">
        <f>ROUND(I124*H124,2)</f>
        <v>2083.69</v>
      </c>
      <c r="BL124" s="18" t="s">
        <v>191</v>
      </c>
      <c r="BM124" s="149" t="s">
        <v>1802</v>
      </c>
    </row>
    <row r="125" spans="2:65" s="12" customFormat="1" ht="11.25" x14ac:dyDescent="0.3">
      <c r="B125" s="155"/>
      <c r="D125" s="156" t="s">
        <v>195</v>
      </c>
      <c r="E125" s="157" t="s">
        <v>1</v>
      </c>
      <c r="F125" s="158" t="s">
        <v>1803</v>
      </c>
      <c r="H125" s="159">
        <v>2.66</v>
      </c>
      <c r="I125" s="160"/>
      <c r="L125" s="155"/>
      <c r="M125" s="161"/>
      <c r="T125" s="162"/>
      <c r="AT125" s="157" t="s">
        <v>195</v>
      </c>
      <c r="AU125" s="157" t="s">
        <v>20</v>
      </c>
      <c r="AV125" s="12" t="s">
        <v>20</v>
      </c>
      <c r="AW125" s="12" t="s">
        <v>37</v>
      </c>
      <c r="AX125" s="12" t="s">
        <v>81</v>
      </c>
      <c r="AY125" s="157" t="s">
        <v>184</v>
      </c>
    </row>
    <row r="126" spans="2:65" s="12" customFormat="1" ht="11.25" x14ac:dyDescent="0.3">
      <c r="B126" s="155"/>
      <c r="D126" s="156" t="s">
        <v>195</v>
      </c>
      <c r="E126" s="157" t="s">
        <v>1</v>
      </c>
      <c r="F126" s="158" t="s">
        <v>1804</v>
      </c>
      <c r="H126" s="159">
        <v>2.7130000000000001</v>
      </c>
      <c r="I126" s="160"/>
      <c r="L126" s="155"/>
      <c r="M126" s="161"/>
      <c r="T126" s="162"/>
      <c r="AT126" s="157" t="s">
        <v>195</v>
      </c>
      <c r="AU126" s="157" t="s">
        <v>20</v>
      </c>
      <c r="AV126" s="12" t="s">
        <v>20</v>
      </c>
      <c r="AW126" s="12" t="s">
        <v>37</v>
      </c>
      <c r="AX126" s="12" t="s">
        <v>88</v>
      </c>
      <c r="AY126" s="157" t="s">
        <v>184</v>
      </c>
    </row>
    <row r="127" spans="2:65" s="1" customFormat="1" ht="44.25" customHeight="1" x14ac:dyDescent="0.3">
      <c r="B127" s="33"/>
      <c r="C127" s="138" t="s">
        <v>264</v>
      </c>
      <c r="D127" s="138" t="s">
        <v>186</v>
      </c>
      <c r="E127" s="139" t="s">
        <v>711</v>
      </c>
      <c r="F127" s="140" t="s">
        <v>1805</v>
      </c>
      <c r="G127" s="141" t="s">
        <v>189</v>
      </c>
      <c r="H127" s="142">
        <v>14</v>
      </c>
      <c r="I127" s="143">
        <v>674.86</v>
      </c>
      <c r="J127" s="144">
        <f>ROUND(I127*H127,2)</f>
        <v>9448.0400000000009</v>
      </c>
      <c r="K127" s="140" t="s">
        <v>190</v>
      </c>
      <c r="L127" s="33"/>
      <c r="M127" s="145" t="s">
        <v>1</v>
      </c>
      <c r="N127" s="146" t="s">
        <v>47</v>
      </c>
      <c r="O127" s="147">
        <v>0.06</v>
      </c>
      <c r="P127" s="147">
        <f>O127*H127</f>
        <v>0.84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191</v>
      </c>
      <c r="AT127" s="149" t="s">
        <v>186</v>
      </c>
      <c r="AU127" s="149" t="s">
        <v>20</v>
      </c>
      <c r="AY127" s="18" t="s">
        <v>184</v>
      </c>
      <c r="BE127" s="150">
        <f>IF(N127="základní",J127,0)</f>
        <v>9448.0400000000009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8" t="s">
        <v>88</v>
      </c>
      <c r="BK127" s="150">
        <f>ROUND(I127*H127,2)</f>
        <v>9448.0400000000009</v>
      </c>
      <c r="BL127" s="18" t="s">
        <v>191</v>
      </c>
      <c r="BM127" s="149" t="s">
        <v>1806</v>
      </c>
    </row>
    <row r="128" spans="2:65" s="1" customFormat="1" x14ac:dyDescent="0.3">
      <c r="B128" s="33"/>
      <c r="D128" s="151" t="s">
        <v>193</v>
      </c>
      <c r="F128" s="152" t="s">
        <v>714</v>
      </c>
      <c r="I128" s="153"/>
      <c r="L128" s="33"/>
      <c r="M128" s="154"/>
      <c r="T128" s="57"/>
      <c r="AT128" s="18" t="s">
        <v>193</v>
      </c>
      <c r="AU128" s="18" t="s">
        <v>20</v>
      </c>
    </row>
    <row r="129" spans="2:65" s="11" customFormat="1" ht="22.9" customHeight="1" x14ac:dyDescent="0.2">
      <c r="B129" s="127"/>
      <c r="D129" s="128" t="s">
        <v>80</v>
      </c>
      <c r="E129" s="136" t="s">
        <v>245</v>
      </c>
      <c r="F129" s="136" t="s">
        <v>304</v>
      </c>
      <c r="I129" s="171"/>
      <c r="J129" s="137">
        <f>BK129</f>
        <v>106362.29</v>
      </c>
      <c r="L129" s="127"/>
      <c r="M129" s="131"/>
      <c r="P129" s="132">
        <f>SUM(P130:P146)</f>
        <v>32.334200000000003</v>
      </c>
      <c r="R129" s="132">
        <f>SUM(R130:R146)</f>
        <v>25.869418000000003</v>
      </c>
      <c r="T129" s="133">
        <f>SUM(T130:T146)</f>
        <v>0</v>
      </c>
      <c r="AR129" s="128" t="s">
        <v>88</v>
      </c>
      <c r="AT129" s="134" t="s">
        <v>80</v>
      </c>
      <c r="AU129" s="134" t="s">
        <v>88</v>
      </c>
      <c r="AY129" s="128" t="s">
        <v>184</v>
      </c>
      <c r="BK129" s="135">
        <f>SUM(BK130:BK146)</f>
        <v>106362.29</v>
      </c>
    </row>
    <row r="130" spans="2:65" s="1" customFormat="1" ht="24.2" customHeight="1" x14ac:dyDescent="0.3">
      <c r="B130" s="33"/>
      <c r="C130" s="138" t="s">
        <v>270</v>
      </c>
      <c r="D130" s="138" t="s">
        <v>186</v>
      </c>
      <c r="E130" s="139" t="s">
        <v>306</v>
      </c>
      <c r="F130" s="140" t="s">
        <v>1669</v>
      </c>
      <c r="G130" s="141" t="s">
        <v>210</v>
      </c>
      <c r="H130" s="142">
        <v>120.65</v>
      </c>
      <c r="I130" s="143">
        <v>690.55</v>
      </c>
      <c r="J130" s="144">
        <f>ROUND(I130*H130,2)</f>
        <v>83314.86</v>
      </c>
      <c r="K130" s="140" t="s">
        <v>190</v>
      </c>
      <c r="L130" s="33"/>
      <c r="M130" s="145" t="s">
        <v>1</v>
      </c>
      <c r="N130" s="146" t="s">
        <v>47</v>
      </c>
      <c r="O130" s="147">
        <v>0.26800000000000002</v>
      </c>
      <c r="P130" s="147">
        <f>O130*H130</f>
        <v>32.334200000000003</v>
      </c>
      <c r="Q130" s="147">
        <v>0.15540000000000001</v>
      </c>
      <c r="R130" s="147">
        <f>Q130*H130</f>
        <v>18.749010000000002</v>
      </c>
      <c r="S130" s="147">
        <v>0</v>
      </c>
      <c r="T130" s="148">
        <f>S130*H130</f>
        <v>0</v>
      </c>
      <c r="AR130" s="149" t="s">
        <v>191</v>
      </c>
      <c r="AT130" s="149" t="s">
        <v>186</v>
      </c>
      <c r="AU130" s="149" t="s">
        <v>20</v>
      </c>
      <c r="AY130" s="18" t="s">
        <v>184</v>
      </c>
      <c r="BE130" s="150">
        <f>IF(N130="základní",J130,0)</f>
        <v>83314.86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8" t="s">
        <v>88</v>
      </c>
      <c r="BK130" s="150">
        <f>ROUND(I130*H130,2)</f>
        <v>83314.86</v>
      </c>
      <c r="BL130" s="18" t="s">
        <v>191</v>
      </c>
      <c r="BM130" s="149" t="s">
        <v>1807</v>
      </c>
    </row>
    <row r="131" spans="2:65" s="1" customFormat="1" x14ac:dyDescent="0.3">
      <c r="B131" s="33"/>
      <c r="D131" s="151" t="s">
        <v>193</v>
      </c>
      <c r="F131" s="152" t="s">
        <v>309</v>
      </c>
      <c r="I131" s="153"/>
      <c r="L131" s="33"/>
      <c r="M131" s="154"/>
      <c r="T131" s="57"/>
      <c r="AT131" s="18" t="s">
        <v>193</v>
      </c>
      <c r="AU131" s="18" t="s">
        <v>20</v>
      </c>
    </row>
    <row r="132" spans="2:65" s="12" customFormat="1" ht="11.25" x14ac:dyDescent="0.3">
      <c r="B132" s="155"/>
      <c r="D132" s="156" t="s">
        <v>195</v>
      </c>
      <c r="E132" s="157" t="s">
        <v>1</v>
      </c>
      <c r="F132" s="158" t="s">
        <v>1808</v>
      </c>
      <c r="H132" s="159">
        <v>120.65</v>
      </c>
      <c r="I132" s="160"/>
      <c r="L132" s="155"/>
      <c r="M132" s="161"/>
      <c r="T132" s="162"/>
      <c r="AT132" s="157" t="s">
        <v>195</v>
      </c>
      <c r="AU132" s="157" t="s">
        <v>20</v>
      </c>
      <c r="AV132" s="12" t="s">
        <v>20</v>
      </c>
      <c r="AW132" s="12" t="s">
        <v>37</v>
      </c>
      <c r="AX132" s="12" t="s">
        <v>88</v>
      </c>
      <c r="AY132" s="157" t="s">
        <v>184</v>
      </c>
    </row>
    <row r="133" spans="2:65" s="1" customFormat="1" ht="16.5" customHeight="1" x14ac:dyDescent="0.3">
      <c r="B133" s="33"/>
      <c r="C133" s="172" t="s">
        <v>276</v>
      </c>
      <c r="D133" s="172" t="s">
        <v>271</v>
      </c>
      <c r="E133" s="173" t="s">
        <v>312</v>
      </c>
      <c r="F133" s="174" t="s">
        <v>313</v>
      </c>
      <c r="G133" s="175" t="s">
        <v>210</v>
      </c>
      <c r="H133" s="176">
        <v>40.524999999999999</v>
      </c>
      <c r="I133" s="177">
        <v>182.84</v>
      </c>
      <c r="J133" s="178">
        <f>ROUND(I133*H133,2)</f>
        <v>7409.59</v>
      </c>
      <c r="K133" s="174" t="s">
        <v>190</v>
      </c>
      <c r="L133" s="179"/>
      <c r="M133" s="180" t="s">
        <v>1</v>
      </c>
      <c r="N133" s="181" t="s">
        <v>47</v>
      </c>
      <c r="O133" s="147">
        <v>0</v>
      </c>
      <c r="P133" s="147">
        <f>O133*H133</f>
        <v>0</v>
      </c>
      <c r="Q133" s="147">
        <v>0.08</v>
      </c>
      <c r="R133" s="147">
        <f>Q133*H133</f>
        <v>3.242</v>
      </c>
      <c r="S133" s="147">
        <v>0</v>
      </c>
      <c r="T133" s="148">
        <f>S133*H133</f>
        <v>0</v>
      </c>
      <c r="AR133" s="149" t="s">
        <v>239</v>
      </c>
      <c r="AT133" s="149" t="s">
        <v>271</v>
      </c>
      <c r="AU133" s="149" t="s">
        <v>20</v>
      </c>
      <c r="AY133" s="18" t="s">
        <v>184</v>
      </c>
      <c r="BE133" s="150">
        <f>IF(N133="základní",J133,0)</f>
        <v>7409.59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8" t="s">
        <v>88</v>
      </c>
      <c r="BK133" s="150">
        <f>ROUND(I133*H133,2)</f>
        <v>7409.59</v>
      </c>
      <c r="BL133" s="18" t="s">
        <v>191</v>
      </c>
      <c r="BM133" s="149" t="s">
        <v>1809</v>
      </c>
    </row>
    <row r="134" spans="2:65" s="12" customFormat="1" ht="11.25" x14ac:dyDescent="0.3">
      <c r="B134" s="155"/>
      <c r="D134" s="156" t="s">
        <v>195</v>
      </c>
      <c r="E134" s="157" t="s">
        <v>1</v>
      </c>
      <c r="F134" s="158" t="s">
        <v>1810</v>
      </c>
      <c r="H134" s="159">
        <v>39.729999999999997</v>
      </c>
      <c r="I134" s="160"/>
      <c r="L134" s="155"/>
      <c r="M134" s="161"/>
      <c r="T134" s="162"/>
      <c r="AT134" s="157" t="s">
        <v>195</v>
      </c>
      <c r="AU134" s="157" t="s">
        <v>20</v>
      </c>
      <c r="AV134" s="12" t="s">
        <v>20</v>
      </c>
      <c r="AW134" s="12" t="s">
        <v>37</v>
      </c>
      <c r="AX134" s="12" t="s">
        <v>81</v>
      </c>
      <c r="AY134" s="157" t="s">
        <v>184</v>
      </c>
    </row>
    <row r="135" spans="2:65" s="12" customFormat="1" ht="11.25" x14ac:dyDescent="0.3">
      <c r="B135" s="155"/>
      <c r="D135" s="156" t="s">
        <v>195</v>
      </c>
      <c r="E135" s="157" t="s">
        <v>1</v>
      </c>
      <c r="F135" s="158" t="s">
        <v>1811</v>
      </c>
      <c r="H135" s="159">
        <v>40.524999999999999</v>
      </c>
      <c r="I135" s="160"/>
      <c r="L135" s="155"/>
      <c r="M135" s="161"/>
      <c r="T135" s="162"/>
      <c r="AT135" s="157" t="s">
        <v>195</v>
      </c>
      <c r="AU135" s="157" t="s">
        <v>20</v>
      </c>
      <c r="AV135" s="12" t="s">
        <v>20</v>
      </c>
      <c r="AW135" s="12" t="s">
        <v>37</v>
      </c>
      <c r="AX135" s="12" t="s">
        <v>88</v>
      </c>
      <c r="AY135" s="157" t="s">
        <v>184</v>
      </c>
    </row>
    <row r="136" spans="2:65" s="1" customFormat="1" ht="16.5" customHeight="1" x14ac:dyDescent="0.3">
      <c r="B136" s="33"/>
      <c r="C136" s="172" t="s">
        <v>7</v>
      </c>
      <c r="D136" s="172" t="s">
        <v>271</v>
      </c>
      <c r="E136" s="173" t="s">
        <v>317</v>
      </c>
      <c r="F136" s="174" t="s">
        <v>318</v>
      </c>
      <c r="G136" s="175" t="s">
        <v>210</v>
      </c>
      <c r="H136" s="176">
        <v>25.847000000000001</v>
      </c>
      <c r="I136" s="177">
        <v>228.36</v>
      </c>
      <c r="J136" s="178">
        <f>ROUND(I136*H136,2)</f>
        <v>5902.42</v>
      </c>
      <c r="K136" s="174" t="s">
        <v>190</v>
      </c>
      <c r="L136" s="179"/>
      <c r="M136" s="180" t="s">
        <v>1</v>
      </c>
      <c r="N136" s="181" t="s">
        <v>47</v>
      </c>
      <c r="O136" s="147">
        <v>0</v>
      </c>
      <c r="P136" s="147">
        <f>O136*H136</f>
        <v>0</v>
      </c>
      <c r="Q136" s="147">
        <v>0.04</v>
      </c>
      <c r="R136" s="147">
        <f>Q136*H136</f>
        <v>1.0338800000000001</v>
      </c>
      <c r="S136" s="147">
        <v>0</v>
      </c>
      <c r="T136" s="148">
        <f>S136*H136</f>
        <v>0</v>
      </c>
      <c r="AR136" s="149" t="s">
        <v>239</v>
      </c>
      <c r="AT136" s="149" t="s">
        <v>271</v>
      </c>
      <c r="AU136" s="149" t="s">
        <v>20</v>
      </c>
      <c r="AY136" s="18" t="s">
        <v>184</v>
      </c>
      <c r="BE136" s="150">
        <f>IF(N136="základní",J136,0)</f>
        <v>5902.42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8" t="s">
        <v>88</v>
      </c>
      <c r="BK136" s="150">
        <f>ROUND(I136*H136,2)</f>
        <v>5902.42</v>
      </c>
      <c r="BL136" s="18" t="s">
        <v>191</v>
      </c>
      <c r="BM136" s="149" t="s">
        <v>1812</v>
      </c>
    </row>
    <row r="137" spans="2:65" s="12" customFormat="1" ht="11.25" x14ac:dyDescent="0.3">
      <c r="B137" s="155"/>
      <c r="D137" s="156" t="s">
        <v>195</v>
      </c>
      <c r="E137" s="157" t="s">
        <v>1</v>
      </c>
      <c r="F137" s="158" t="s">
        <v>1813</v>
      </c>
      <c r="H137" s="159">
        <v>18.649999999999999</v>
      </c>
      <c r="I137" s="160"/>
      <c r="L137" s="155"/>
      <c r="M137" s="161"/>
      <c r="T137" s="162"/>
      <c r="AT137" s="157" t="s">
        <v>195</v>
      </c>
      <c r="AU137" s="157" t="s">
        <v>20</v>
      </c>
      <c r="AV137" s="12" t="s">
        <v>20</v>
      </c>
      <c r="AW137" s="12" t="s">
        <v>37</v>
      </c>
      <c r="AX137" s="12" t="s">
        <v>81</v>
      </c>
      <c r="AY137" s="157" t="s">
        <v>184</v>
      </c>
    </row>
    <row r="138" spans="2:65" s="12" customFormat="1" ht="11.25" x14ac:dyDescent="0.3">
      <c r="B138" s="155"/>
      <c r="D138" s="156" t="s">
        <v>195</v>
      </c>
      <c r="E138" s="157" t="s">
        <v>1</v>
      </c>
      <c r="F138" s="158" t="s">
        <v>1814</v>
      </c>
      <c r="H138" s="159">
        <v>6.69</v>
      </c>
      <c r="I138" s="160"/>
      <c r="L138" s="155"/>
      <c r="M138" s="161"/>
      <c r="T138" s="162"/>
      <c r="AT138" s="157" t="s">
        <v>195</v>
      </c>
      <c r="AU138" s="157" t="s">
        <v>20</v>
      </c>
      <c r="AV138" s="12" t="s">
        <v>20</v>
      </c>
      <c r="AW138" s="12" t="s">
        <v>37</v>
      </c>
      <c r="AX138" s="12" t="s">
        <v>81</v>
      </c>
      <c r="AY138" s="157" t="s">
        <v>184</v>
      </c>
    </row>
    <row r="139" spans="2:65" s="13" customFormat="1" ht="11.25" x14ac:dyDescent="0.3">
      <c r="B139" s="163"/>
      <c r="D139" s="156" t="s">
        <v>195</v>
      </c>
      <c r="E139" s="164" t="s">
        <v>1</v>
      </c>
      <c r="F139" s="165" t="s">
        <v>230</v>
      </c>
      <c r="H139" s="166">
        <v>25.34</v>
      </c>
      <c r="I139" s="167"/>
      <c r="L139" s="163"/>
      <c r="M139" s="168"/>
      <c r="T139" s="169"/>
      <c r="AT139" s="164" t="s">
        <v>195</v>
      </c>
      <c r="AU139" s="164" t="s">
        <v>20</v>
      </c>
      <c r="AV139" s="13" t="s">
        <v>191</v>
      </c>
      <c r="AW139" s="13" t="s">
        <v>37</v>
      </c>
      <c r="AX139" s="13" t="s">
        <v>81</v>
      </c>
      <c r="AY139" s="164" t="s">
        <v>184</v>
      </c>
    </row>
    <row r="140" spans="2:65" s="12" customFormat="1" ht="11.25" x14ac:dyDescent="0.3">
      <c r="B140" s="155"/>
      <c r="D140" s="156" t="s">
        <v>195</v>
      </c>
      <c r="E140" s="157" t="s">
        <v>1</v>
      </c>
      <c r="F140" s="158" t="s">
        <v>1815</v>
      </c>
      <c r="H140" s="159">
        <v>25.847000000000001</v>
      </c>
      <c r="I140" s="160"/>
      <c r="L140" s="155"/>
      <c r="M140" s="161"/>
      <c r="T140" s="162"/>
      <c r="AT140" s="157" t="s">
        <v>195</v>
      </c>
      <c r="AU140" s="157" t="s">
        <v>20</v>
      </c>
      <c r="AV140" s="12" t="s">
        <v>20</v>
      </c>
      <c r="AW140" s="12" t="s">
        <v>37</v>
      </c>
      <c r="AX140" s="12" t="s">
        <v>88</v>
      </c>
      <c r="AY140" s="157" t="s">
        <v>184</v>
      </c>
    </row>
    <row r="141" spans="2:65" s="1" customFormat="1" ht="16.5" customHeight="1" x14ac:dyDescent="0.3">
      <c r="B141" s="33"/>
      <c r="C141" s="172" t="s">
        <v>287</v>
      </c>
      <c r="D141" s="172" t="s">
        <v>271</v>
      </c>
      <c r="E141" s="173" t="s">
        <v>323</v>
      </c>
      <c r="F141" s="174" t="s">
        <v>324</v>
      </c>
      <c r="G141" s="175" t="s">
        <v>210</v>
      </c>
      <c r="H141" s="176">
        <v>50.572000000000003</v>
      </c>
      <c r="I141" s="177">
        <v>143.6</v>
      </c>
      <c r="J141" s="178">
        <f>ROUND(I141*H141,2)</f>
        <v>7262.14</v>
      </c>
      <c r="K141" s="174" t="s">
        <v>190</v>
      </c>
      <c r="L141" s="179"/>
      <c r="M141" s="180" t="s">
        <v>1</v>
      </c>
      <c r="N141" s="181" t="s">
        <v>47</v>
      </c>
      <c r="O141" s="147">
        <v>0</v>
      </c>
      <c r="P141" s="147">
        <f>O141*H141</f>
        <v>0</v>
      </c>
      <c r="Q141" s="147">
        <v>4.8300000000000003E-2</v>
      </c>
      <c r="R141" s="147">
        <f>Q141*H141</f>
        <v>2.4426276000000002</v>
      </c>
      <c r="S141" s="147">
        <v>0</v>
      </c>
      <c r="T141" s="148">
        <f>S141*H141</f>
        <v>0</v>
      </c>
      <c r="AR141" s="149" t="s">
        <v>239</v>
      </c>
      <c r="AT141" s="149" t="s">
        <v>271</v>
      </c>
      <c r="AU141" s="149" t="s">
        <v>20</v>
      </c>
      <c r="AY141" s="18" t="s">
        <v>184</v>
      </c>
      <c r="BE141" s="150">
        <f>IF(N141="základní",J141,0)</f>
        <v>7262.14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8" t="s">
        <v>88</v>
      </c>
      <c r="BK141" s="150">
        <f>ROUND(I141*H141,2)</f>
        <v>7262.14</v>
      </c>
      <c r="BL141" s="18" t="s">
        <v>191</v>
      </c>
      <c r="BM141" s="149" t="s">
        <v>1816</v>
      </c>
    </row>
    <row r="142" spans="2:65" s="12" customFormat="1" ht="11.25" x14ac:dyDescent="0.3">
      <c r="B142" s="155"/>
      <c r="D142" s="156" t="s">
        <v>195</v>
      </c>
      <c r="E142" s="157" t="s">
        <v>1</v>
      </c>
      <c r="F142" s="158" t="s">
        <v>1817</v>
      </c>
      <c r="H142" s="159">
        <v>49.58</v>
      </c>
      <c r="I142" s="160"/>
      <c r="L142" s="155"/>
      <c r="M142" s="161"/>
      <c r="T142" s="162"/>
      <c r="AT142" s="157" t="s">
        <v>195</v>
      </c>
      <c r="AU142" s="157" t="s">
        <v>20</v>
      </c>
      <c r="AV142" s="12" t="s">
        <v>20</v>
      </c>
      <c r="AW142" s="12" t="s">
        <v>37</v>
      </c>
      <c r="AX142" s="12" t="s">
        <v>81</v>
      </c>
      <c r="AY142" s="157" t="s">
        <v>184</v>
      </c>
    </row>
    <row r="143" spans="2:65" s="12" customFormat="1" ht="11.25" x14ac:dyDescent="0.3">
      <c r="B143" s="155"/>
      <c r="D143" s="156" t="s">
        <v>195</v>
      </c>
      <c r="E143" s="157" t="s">
        <v>1</v>
      </c>
      <c r="F143" s="158" t="s">
        <v>1818</v>
      </c>
      <c r="H143" s="159">
        <v>50.572000000000003</v>
      </c>
      <c r="I143" s="160"/>
      <c r="L143" s="155"/>
      <c r="M143" s="161"/>
      <c r="T143" s="162"/>
      <c r="AT143" s="157" t="s">
        <v>195</v>
      </c>
      <c r="AU143" s="157" t="s">
        <v>20</v>
      </c>
      <c r="AV143" s="12" t="s">
        <v>20</v>
      </c>
      <c r="AW143" s="12" t="s">
        <v>37</v>
      </c>
      <c r="AX143" s="12" t="s">
        <v>88</v>
      </c>
      <c r="AY143" s="157" t="s">
        <v>184</v>
      </c>
    </row>
    <row r="144" spans="2:65" s="1" customFormat="1" ht="16.5" customHeight="1" x14ac:dyDescent="0.3">
      <c r="B144" s="33"/>
      <c r="C144" s="172" t="s">
        <v>293</v>
      </c>
      <c r="D144" s="172" t="s">
        <v>271</v>
      </c>
      <c r="E144" s="173" t="s">
        <v>329</v>
      </c>
      <c r="F144" s="174" t="s">
        <v>330</v>
      </c>
      <c r="G144" s="175" t="s">
        <v>210</v>
      </c>
      <c r="H144" s="176">
        <v>6.12</v>
      </c>
      <c r="I144" s="177">
        <v>404.13</v>
      </c>
      <c r="J144" s="178">
        <f>ROUND(I144*H144,2)</f>
        <v>2473.2800000000002</v>
      </c>
      <c r="K144" s="174" t="s">
        <v>190</v>
      </c>
      <c r="L144" s="179"/>
      <c r="M144" s="180" t="s">
        <v>1</v>
      </c>
      <c r="N144" s="181" t="s">
        <v>47</v>
      </c>
      <c r="O144" s="147">
        <v>0</v>
      </c>
      <c r="P144" s="147">
        <f>O144*H144</f>
        <v>0</v>
      </c>
      <c r="Q144" s="147">
        <v>6.5670000000000006E-2</v>
      </c>
      <c r="R144" s="147">
        <f>Q144*H144</f>
        <v>0.40190040000000005</v>
      </c>
      <c r="S144" s="147">
        <v>0</v>
      </c>
      <c r="T144" s="148">
        <f>S144*H144</f>
        <v>0</v>
      </c>
      <c r="AR144" s="149" t="s">
        <v>239</v>
      </c>
      <c r="AT144" s="149" t="s">
        <v>271</v>
      </c>
      <c r="AU144" s="149" t="s">
        <v>20</v>
      </c>
      <c r="AY144" s="18" t="s">
        <v>184</v>
      </c>
      <c r="BE144" s="150">
        <f>IF(N144="základní",J144,0)</f>
        <v>2473.2800000000002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8" t="s">
        <v>88</v>
      </c>
      <c r="BK144" s="150">
        <f>ROUND(I144*H144,2)</f>
        <v>2473.2800000000002</v>
      </c>
      <c r="BL144" s="18" t="s">
        <v>191</v>
      </c>
      <c r="BM144" s="149" t="s">
        <v>1819</v>
      </c>
    </row>
    <row r="145" spans="2:65" s="12" customFormat="1" ht="11.25" x14ac:dyDescent="0.3">
      <c r="B145" s="155"/>
      <c r="D145" s="156" t="s">
        <v>195</v>
      </c>
      <c r="E145" s="157" t="s">
        <v>1</v>
      </c>
      <c r="F145" s="158" t="s">
        <v>1820</v>
      </c>
      <c r="H145" s="159">
        <v>6</v>
      </c>
      <c r="I145" s="160"/>
      <c r="L145" s="155"/>
      <c r="M145" s="161"/>
      <c r="T145" s="162"/>
      <c r="AT145" s="157" t="s">
        <v>195</v>
      </c>
      <c r="AU145" s="157" t="s">
        <v>20</v>
      </c>
      <c r="AV145" s="12" t="s">
        <v>20</v>
      </c>
      <c r="AW145" s="12" t="s">
        <v>37</v>
      </c>
      <c r="AX145" s="12" t="s">
        <v>81</v>
      </c>
      <c r="AY145" s="157" t="s">
        <v>184</v>
      </c>
    </row>
    <row r="146" spans="2:65" s="12" customFormat="1" ht="11.25" x14ac:dyDescent="0.3">
      <c r="B146" s="155"/>
      <c r="D146" s="156" t="s">
        <v>195</v>
      </c>
      <c r="E146" s="157" t="s">
        <v>1</v>
      </c>
      <c r="F146" s="158" t="s">
        <v>1821</v>
      </c>
      <c r="H146" s="159">
        <v>6.12</v>
      </c>
      <c r="I146" s="160"/>
      <c r="L146" s="155"/>
      <c r="M146" s="161"/>
      <c r="T146" s="162"/>
      <c r="AT146" s="157" t="s">
        <v>195</v>
      </c>
      <c r="AU146" s="157" t="s">
        <v>20</v>
      </c>
      <c r="AV146" s="12" t="s">
        <v>20</v>
      </c>
      <c r="AW146" s="12" t="s">
        <v>37</v>
      </c>
      <c r="AX146" s="12" t="s">
        <v>88</v>
      </c>
      <c r="AY146" s="157" t="s">
        <v>184</v>
      </c>
    </row>
    <row r="147" spans="2:65" s="11" customFormat="1" ht="22.9" customHeight="1" x14ac:dyDescent="0.2">
      <c r="B147" s="127"/>
      <c r="D147" s="128" t="s">
        <v>80</v>
      </c>
      <c r="E147" s="136" t="s">
        <v>358</v>
      </c>
      <c r="F147" s="136" t="s">
        <v>359</v>
      </c>
      <c r="I147" s="171"/>
      <c r="J147" s="137">
        <f>BK147</f>
        <v>49582.07</v>
      </c>
      <c r="L147" s="127"/>
      <c r="M147" s="131"/>
      <c r="P147" s="132">
        <f>SUM(P148:P156)</f>
        <v>163.86532</v>
      </c>
      <c r="R147" s="132">
        <f>SUM(R148:R156)</f>
        <v>0</v>
      </c>
      <c r="T147" s="133">
        <f>SUM(T148:T156)</f>
        <v>0</v>
      </c>
      <c r="AR147" s="128" t="s">
        <v>88</v>
      </c>
      <c r="AT147" s="134" t="s">
        <v>80</v>
      </c>
      <c r="AU147" s="134" t="s">
        <v>88</v>
      </c>
      <c r="AY147" s="128" t="s">
        <v>184</v>
      </c>
      <c r="BK147" s="135">
        <f>SUM(BK148:BK156)</f>
        <v>49582.07</v>
      </c>
    </row>
    <row r="148" spans="2:65" s="1" customFormat="1" ht="24.2" customHeight="1" x14ac:dyDescent="0.3">
      <c r="B148" s="33"/>
      <c r="C148" s="138" t="s">
        <v>299</v>
      </c>
      <c r="D148" s="138" t="s">
        <v>186</v>
      </c>
      <c r="E148" s="139" t="s">
        <v>361</v>
      </c>
      <c r="F148" s="140" t="s">
        <v>1572</v>
      </c>
      <c r="G148" s="141" t="s">
        <v>248</v>
      </c>
      <c r="H148" s="142">
        <v>167.08</v>
      </c>
      <c r="I148" s="143">
        <v>178.35</v>
      </c>
      <c r="J148" s="144">
        <f>ROUND(I148*H148,2)</f>
        <v>29798.720000000001</v>
      </c>
      <c r="K148" s="140" t="s">
        <v>190</v>
      </c>
      <c r="L148" s="33"/>
      <c r="M148" s="145" t="s">
        <v>1</v>
      </c>
      <c r="N148" s="146" t="s">
        <v>47</v>
      </c>
      <c r="O148" s="147">
        <v>0.83499999999999996</v>
      </c>
      <c r="P148" s="147">
        <f>O148*H148</f>
        <v>139.51179999999999</v>
      </c>
      <c r="Q148" s="147">
        <v>0</v>
      </c>
      <c r="R148" s="147">
        <f>Q148*H148</f>
        <v>0</v>
      </c>
      <c r="S148" s="147">
        <v>0</v>
      </c>
      <c r="T148" s="148">
        <f>S148*H148</f>
        <v>0</v>
      </c>
      <c r="AR148" s="149" t="s">
        <v>191</v>
      </c>
      <c r="AT148" s="149" t="s">
        <v>186</v>
      </c>
      <c r="AU148" s="149" t="s">
        <v>20</v>
      </c>
      <c r="AY148" s="18" t="s">
        <v>184</v>
      </c>
      <c r="BE148" s="150">
        <f>IF(N148="základní",J148,0)</f>
        <v>29798.720000000001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8" t="s">
        <v>88</v>
      </c>
      <c r="BK148" s="150">
        <f>ROUND(I148*H148,2)</f>
        <v>29798.720000000001</v>
      </c>
      <c r="BL148" s="18" t="s">
        <v>191</v>
      </c>
      <c r="BM148" s="149" t="s">
        <v>1822</v>
      </c>
    </row>
    <row r="149" spans="2:65" s="1" customFormat="1" x14ac:dyDescent="0.3">
      <c r="B149" s="33"/>
      <c r="D149" s="151" t="s">
        <v>193</v>
      </c>
      <c r="F149" s="152" t="s">
        <v>364</v>
      </c>
      <c r="I149" s="153"/>
      <c r="L149" s="33"/>
      <c r="M149" s="154"/>
      <c r="T149" s="57"/>
      <c r="AT149" s="18" t="s">
        <v>193</v>
      </c>
      <c r="AU149" s="18" t="s">
        <v>20</v>
      </c>
    </row>
    <row r="150" spans="2:65" s="1" customFormat="1" ht="19.5" x14ac:dyDescent="0.3">
      <c r="B150" s="33"/>
      <c r="D150" s="156" t="s">
        <v>236</v>
      </c>
      <c r="F150" s="170" t="s">
        <v>365</v>
      </c>
      <c r="I150" s="153"/>
      <c r="L150" s="33"/>
      <c r="M150" s="154"/>
      <c r="T150" s="57"/>
      <c r="AT150" s="18" t="s">
        <v>236</v>
      </c>
      <c r="AU150" s="18" t="s">
        <v>20</v>
      </c>
    </row>
    <row r="151" spans="2:65" s="12" customFormat="1" ht="11.25" x14ac:dyDescent="0.3">
      <c r="B151" s="155"/>
      <c r="D151" s="156" t="s">
        <v>195</v>
      </c>
      <c r="E151" s="157" t="s">
        <v>1</v>
      </c>
      <c r="F151" s="158" t="s">
        <v>1823</v>
      </c>
      <c r="H151" s="159">
        <v>129.54</v>
      </c>
      <c r="I151" s="160"/>
      <c r="L151" s="155"/>
      <c r="M151" s="161"/>
      <c r="T151" s="162"/>
      <c r="AT151" s="157" t="s">
        <v>195</v>
      </c>
      <c r="AU151" s="157" t="s">
        <v>20</v>
      </c>
      <c r="AV151" s="12" t="s">
        <v>20</v>
      </c>
      <c r="AW151" s="12" t="s">
        <v>37</v>
      </c>
      <c r="AX151" s="12" t="s">
        <v>81</v>
      </c>
      <c r="AY151" s="157" t="s">
        <v>184</v>
      </c>
    </row>
    <row r="152" spans="2:65" s="12" customFormat="1" ht="11.25" x14ac:dyDescent="0.3">
      <c r="B152" s="155"/>
      <c r="D152" s="156" t="s">
        <v>195</v>
      </c>
      <c r="E152" s="157" t="s">
        <v>1</v>
      </c>
      <c r="F152" s="158" t="s">
        <v>1824</v>
      </c>
      <c r="H152" s="159">
        <v>37.54</v>
      </c>
      <c r="I152" s="160"/>
      <c r="L152" s="155"/>
      <c r="M152" s="161"/>
      <c r="T152" s="162"/>
      <c r="AT152" s="157" t="s">
        <v>195</v>
      </c>
      <c r="AU152" s="157" t="s">
        <v>20</v>
      </c>
      <c r="AV152" s="12" t="s">
        <v>20</v>
      </c>
      <c r="AW152" s="12" t="s">
        <v>37</v>
      </c>
      <c r="AX152" s="12" t="s">
        <v>81</v>
      </c>
      <c r="AY152" s="157" t="s">
        <v>184</v>
      </c>
    </row>
    <row r="153" spans="2:65" s="13" customFormat="1" ht="11.25" x14ac:dyDescent="0.3">
      <c r="B153" s="163"/>
      <c r="D153" s="156" t="s">
        <v>195</v>
      </c>
      <c r="E153" s="164" t="s">
        <v>1</v>
      </c>
      <c r="F153" s="165" t="s">
        <v>230</v>
      </c>
      <c r="H153" s="166">
        <v>167.08</v>
      </c>
      <c r="I153" s="167"/>
      <c r="L153" s="163"/>
      <c r="M153" s="168"/>
      <c r="T153" s="169"/>
      <c r="AT153" s="164" t="s">
        <v>195</v>
      </c>
      <c r="AU153" s="164" t="s">
        <v>20</v>
      </c>
      <c r="AV153" s="13" t="s">
        <v>191</v>
      </c>
      <c r="AW153" s="13" t="s">
        <v>37</v>
      </c>
      <c r="AX153" s="13" t="s">
        <v>88</v>
      </c>
      <c r="AY153" s="164" t="s">
        <v>184</v>
      </c>
    </row>
    <row r="154" spans="2:65" s="1" customFormat="1" ht="16.5" customHeight="1" x14ac:dyDescent="0.3">
      <c r="B154" s="33"/>
      <c r="C154" s="138" t="s">
        <v>305</v>
      </c>
      <c r="D154" s="138" t="s">
        <v>186</v>
      </c>
      <c r="E154" s="139" t="s">
        <v>369</v>
      </c>
      <c r="F154" s="140" t="s">
        <v>1576</v>
      </c>
      <c r="G154" s="141" t="s">
        <v>248</v>
      </c>
      <c r="H154" s="142">
        <v>64.77</v>
      </c>
      <c r="I154" s="143">
        <v>305.44</v>
      </c>
      <c r="J154" s="144">
        <f>ROUND(I154*H154,2)</f>
        <v>19783.349999999999</v>
      </c>
      <c r="K154" s="140" t="s">
        <v>190</v>
      </c>
      <c r="L154" s="33"/>
      <c r="M154" s="145" t="s">
        <v>1</v>
      </c>
      <c r="N154" s="146" t="s">
        <v>47</v>
      </c>
      <c r="O154" s="147">
        <v>0.376</v>
      </c>
      <c r="P154" s="147">
        <f>O154*H154</f>
        <v>24.35352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49" t="s">
        <v>191</v>
      </c>
      <c r="AT154" s="149" t="s">
        <v>186</v>
      </c>
      <c r="AU154" s="149" t="s">
        <v>20</v>
      </c>
      <c r="AY154" s="18" t="s">
        <v>184</v>
      </c>
      <c r="BE154" s="150">
        <f>IF(N154="základní",J154,0)</f>
        <v>19783.349999999999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88</v>
      </c>
      <c r="BK154" s="150">
        <f>ROUND(I154*H154,2)</f>
        <v>19783.349999999999</v>
      </c>
      <c r="BL154" s="18" t="s">
        <v>191</v>
      </c>
      <c r="BM154" s="149" t="s">
        <v>1825</v>
      </c>
    </row>
    <row r="155" spans="2:65" s="1" customFormat="1" x14ac:dyDescent="0.3">
      <c r="B155" s="33"/>
      <c r="D155" s="151" t="s">
        <v>193</v>
      </c>
      <c r="F155" s="152" t="s">
        <v>372</v>
      </c>
      <c r="I155" s="153"/>
      <c r="L155" s="33"/>
      <c r="M155" s="154"/>
      <c r="T155" s="57"/>
      <c r="AT155" s="18" t="s">
        <v>193</v>
      </c>
      <c r="AU155" s="18" t="s">
        <v>20</v>
      </c>
    </row>
    <row r="156" spans="2:65" s="12" customFormat="1" ht="11.25" x14ac:dyDescent="0.3">
      <c r="B156" s="155"/>
      <c r="D156" s="156" t="s">
        <v>195</v>
      </c>
      <c r="E156" s="157" t="s">
        <v>1</v>
      </c>
      <c r="F156" s="158" t="s">
        <v>1826</v>
      </c>
      <c r="H156" s="159">
        <v>64.77</v>
      </c>
      <c r="I156" s="160"/>
      <c r="L156" s="155"/>
      <c r="M156" s="161"/>
      <c r="T156" s="162"/>
      <c r="AT156" s="157" t="s">
        <v>195</v>
      </c>
      <c r="AU156" s="157" t="s">
        <v>20</v>
      </c>
      <c r="AV156" s="12" t="s">
        <v>20</v>
      </c>
      <c r="AW156" s="12" t="s">
        <v>37</v>
      </c>
      <c r="AX156" s="12" t="s">
        <v>88</v>
      </c>
      <c r="AY156" s="157" t="s">
        <v>184</v>
      </c>
    </row>
    <row r="157" spans="2:65" s="11" customFormat="1" ht="22.9" customHeight="1" x14ac:dyDescent="0.2">
      <c r="B157" s="127"/>
      <c r="D157" s="128" t="s">
        <v>80</v>
      </c>
      <c r="E157" s="136" t="s">
        <v>374</v>
      </c>
      <c r="F157" s="136" t="s">
        <v>375</v>
      </c>
      <c r="I157" s="171"/>
      <c r="J157" s="137">
        <f>BK157</f>
        <v>50097.05</v>
      </c>
      <c r="L157" s="127"/>
      <c r="M157" s="131"/>
      <c r="P157" s="132">
        <f>SUM(P158:P159)</f>
        <v>65.114351999999997</v>
      </c>
      <c r="R157" s="132">
        <f>SUM(R158:R159)</f>
        <v>0</v>
      </c>
      <c r="T157" s="133">
        <f>SUM(T158:T159)</f>
        <v>0</v>
      </c>
      <c r="AR157" s="128" t="s">
        <v>88</v>
      </c>
      <c r="AT157" s="134" t="s">
        <v>80</v>
      </c>
      <c r="AU157" s="134" t="s">
        <v>88</v>
      </c>
      <c r="AY157" s="128" t="s">
        <v>184</v>
      </c>
      <c r="BK157" s="135">
        <f>SUM(BK158:BK159)</f>
        <v>50097.05</v>
      </c>
    </row>
    <row r="158" spans="2:65" s="1" customFormat="1" ht="24.2" customHeight="1" x14ac:dyDescent="0.3">
      <c r="B158" s="33"/>
      <c r="C158" s="138" t="s">
        <v>311</v>
      </c>
      <c r="D158" s="138" t="s">
        <v>186</v>
      </c>
      <c r="E158" s="139" t="s">
        <v>377</v>
      </c>
      <c r="F158" s="140" t="s">
        <v>1511</v>
      </c>
      <c r="G158" s="141" t="s">
        <v>248</v>
      </c>
      <c r="H158" s="142">
        <v>164.01599999999999</v>
      </c>
      <c r="I158" s="143">
        <v>305.44</v>
      </c>
      <c r="J158" s="144">
        <f>ROUND(I158*H158,2)</f>
        <v>50097.05</v>
      </c>
      <c r="K158" s="140" t="s">
        <v>190</v>
      </c>
      <c r="L158" s="33"/>
      <c r="M158" s="145" t="s">
        <v>1</v>
      </c>
      <c r="N158" s="146" t="s">
        <v>47</v>
      </c>
      <c r="O158" s="147">
        <v>0.39700000000000002</v>
      </c>
      <c r="P158" s="147">
        <f>O158*H158</f>
        <v>65.114351999999997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49" t="s">
        <v>191</v>
      </c>
      <c r="AT158" s="149" t="s">
        <v>186</v>
      </c>
      <c r="AU158" s="149" t="s">
        <v>20</v>
      </c>
      <c r="AY158" s="18" t="s">
        <v>184</v>
      </c>
      <c r="BE158" s="150">
        <f>IF(N158="základní",J158,0)</f>
        <v>50097.05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8" t="s">
        <v>88</v>
      </c>
      <c r="BK158" s="150">
        <f>ROUND(I158*H158,2)</f>
        <v>50097.05</v>
      </c>
      <c r="BL158" s="18" t="s">
        <v>191</v>
      </c>
      <c r="BM158" s="149" t="s">
        <v>1827</v>
      </c>
    </row>
    <row r="159" spans="2:65" s="1" customFormat="1" x14ac:dyDescent="0.3">
      <c r="B159" s="33"/>
      <c r="D159" s="151" t="s">
        <v>193</v>
      </c>
      <c r="F159" s="152" t="s">
        <v>380</v>
      </c>
      <c r="I159" s="153"/>
      <c r="L159" s="33"/>
      <c r="M159" s="189"/>
      <c r="N159" s="190"/>
      <c r="O159" s="190"/>
      <c r="P159" s="190"/>
      <c r="Q159" s="190"/>
      <c r="R159" s="190"/>
      <c r="S159" s="190"/>
      <c r="T159" s="191"/>
      <c r="AT159" s="18" t="s">
        <v>193</v>
      </c>
      <c r="AU159" s="18" t="s">
        <v>20</v>
      </c>
    </row>
    <row r="160" spans="2:65" s="1" customFormat="1" ht="6.95" customHeight="1" x14ac:dyDescent="0.3">
      <c r="B160" s="45"/>
      <c r="C160" s="46"/>
      <c r="D160" s="46"/>
      <c r="E160" s="46"/>
      <c r="F160" s="46"/>
      <c r="G160" s="46"/>
      <c r="H160" s="46"/>
      <c r="I160" s="188"/>
      <c r="J160" s="46"/>
      <c r="K160" s="46"/>
      <c r="L160" s="33"/>
    </row>
  </sheetData>
  <sheetProtection sheet="1" objects="1" scenarios="1"/>
  <autoFilter ref="C121:K204" xr:uid="{5247D0E6-97A7-489F-BED8-ED3165BB1150}"/>
  <mergeCells count="8">
    <mergeCell ref="E48:H48"/>
    <mergeCell ref="E50:H50"/>
    <mergeCell ref="E75:H75"/>
    <mergeCell ref="E77:H77"/>
    <mergeCell ref="L2:V2"/>
    <mergeCell ref="E7:H7"/>
    <mergeCell ref="E9:H9"/>
    <mergeCell ref="E27:H27"/>
  </mergeCells>
  <hyperlinks>
    <hyperlink ref="F89" r:id="rId1" xr:uid="{BFCCCAB8-220A-4728-8803-68466736C81B}"/>
    <hyperlink ref="F92" r:id="rId2" xr:uid="{93F333CA-B09F-4C38-9AD5-2786418F56DB}"/>
    <hyperlink ref="F95" r:id="rId3" xr:uid="{35911D9B-DE28-46D8-BB92-17665A06BE13}"/>
    <hyperlink ref="F101" r:id="rId4" xr:uid="{D2FFCAFB-ECC9-4EEE-97F9-4A48997FCCD5}"/>
    <hyperlink ref="F106" r:id="rId5" xr:uid="{A2F668C5-4724-4817-9BB1-0CC95873CFD3}"/>
    <hyperlink ref="F112" r:id="rId6" xr:uid="{7635ED0A-974C-45D6-B010-DC30575F4D57}"/>
    <hyperlink ref="F116" r:id="rId7" xr:uid="{39287598-A6E3-4244-9848-4094F0C1021A}"/>
    <hyperlink ref="F128" r:id="rId8" xr:uid="{A714EBEE-B923-47D1-8DAF-20C27923EBAC}"/>
    <hyperlink ref="F131" r:id="rId9" xr:uid="{BF2A94A6-2D4A-42AE-8A12-02A827853C88}"/>
    <hyperlink ref="F149" r:id="rId10" xr:uid="{B00AB9E0-2BA8-4D4E-A722-846B43C99CC0}"/>
    <hyperlink ref="F155" r:id="rId11" xr:uid="{7A92C2B8-B15F-4F91-B691-2915E5BBDFDF}"/>
    <hyperlink ref="F159" r:id="rId12" xr:uid="{F9C57ED7-471A-4292-8EA0-4B4F3AF52C30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1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A369-FC16-49F8-8568-90576AD5B952}">
  <sheetPr>
    <tabColor indexed="53"/>
    <pageSetUpPr fitToPage="1"/>
  </sheetPr>
  <dimension ref="B2:BM324"/>
  <sheetViews>
    <sheetView showGridLines="0" topLeftCell="A75" zoomScaleNormal="100" workbookViewId="0">
      <selection activeCell="I178" sqref="I178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135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1828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207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ROUND(J92, 2)</f>
        <v>4863494.5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ROUND((SUM(BE92:BE323)),  2)</f>
        <v>4863494.5</v>
      </c>
      <c r="I33" s="99">
        <v>0.21</v>
      </c>
      <c r="J33" s="98">
        <f>ROUND(((SUM(BE92:BE323))*I33),  2)</f>
        <v>1021333.85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ROUND((SUM(BF92:BF323)),  2)</f>
        <v>0</v>
      </c>
      <c r="I34" s="99">
        <v>0.15</v>
      </c>
      <c r="J34" s="98">
        <f>ROUND(((SUM(BF92:BF323))*I34),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ROUND((SUM(BG92:BG323)),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ROUND((SUM(BH92:BH323)),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ROUND((SUM(BI92:BI323)),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5884828.3499999996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303.II - Odvodnění komunikace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J92</f>
        <v>4863494.5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J93</f>
        <v>4642183</v>
      </c>
      <c r="L60" s="111"/>
    </row>
    <row r="61" spans="2:47" s="9" customFormat="1" ht="19.899999999999999" customHeight="1" x14ac:dyDescent="0.3">
      <c r="B61" s="115"/>
      <c r="D61" s="116" t="s">
        <v>161</v>
      </c>
      <c r="E61" s="117"/>
      <c r="F61" s="117"/>
      <c r="G61" s="117"/>
      <c r="H61" s="117"/>
      <c r="I61" s="117"/>
      <c r="J61" s="118">
        <f>J94</f>
        <v>1970391.59</v>
      </c>
      <c r="L61" s="115"/>
    </row>
    <row r="62" spans="2:47" s="9" customFormat="1" ht="19.899999999999999" customHeight="1" x14ac:dyDescent="0.3">
      <c r="B62" s="115"/>
      <c r="D62" s="116" t="s">
        <v>733</v>
      </c>
      <c r="E62" s="117"/>
      <c r="F62" s="117"/>
      <c r="G62" s="117"/>
      <c r="H62" s="117"/>
      <c r="I62" s="117"/>
      <c r="J62" s="118">
        <f>J164</f>
        <v>111433.30000000002</v>
      </c>
      <c r="L62" s="115"/>
    </row>
    <row r="63" spans="2:47" s="9" customFormat="1" ht="19.899999999999999" customHeight="1" x14ac:dyDescent="0.3">
      <c r="B63" s="115"/>
      <c r="D63" s="116" t="s">
        <v>162</v>
      </c>
      <c r="E63" s="117"/>
      <c r="F63" s="117"/>
      <c r="G63" s="117"/>
      <c r="H63" s="117"/>
      <c r="I63" s="117"/>
      <c r="J63" s="118">
        <f>J181</f>
        <v>26261.67</v>
      </c>
      <c r="L63" s="115"/>
    </row>
    <row r="64" spans="2:47" s="9" customFormat="1" ht="19.899999999999999" customHeight="1" x14ac:dyDescent="0.3">
      <c r="B64" s="115"/>
      <c r="D64" s="116" t="s">
        <v>734</v>
      </c>
      <c r="E64" s="117"/>
      <c r="F64" s="117"/>
      <c r="G64" s="117"/>
      <c r="H64" s="117"/>
      <c r="I64" s="117"/>
      <c r="J64" s="118">
        <f>J192</f>
        <v>1909398.1799999997</v>
      </c>
      <c r="L64" s="115"/>
    </row>
    <row r="65" spans="2:12" s="9" customFormat="1" ht="19.899999999999999" customHeight="1" x14ac:dyDescent="0.3">
      <c r="B65" s="115"/>
      <c r="D65" s="116" t="s">
        <v>163</v>
      </c>
      <c r="E65" s="117"/>
      <c r="F65" s="117"/>
      <c r="G65" s="117"/>
      <c r="H65" s="117"/>
      <c r="I65" s="117"/>
      <c r="J65" s="118">
        <f>J265</f>
        <v>197602.62999999995</v>
      </c>
      <c r="L65" s="115"/>
    </row>
    <row r="66" spans="2:12" s="9" customFormat="1" ht="19.899999999999999" customHeight="1" x14ac:dyDescent="0.3">
      <c r="B66" s="115"/>
      <c r="D66" s="116" t="s">
        <v>164</v>
      </c>
      <c r="E66" s="117"/>
      <c r="F66" s="117"/>
      <c r="G66" s="117"/>
      <c r="H66" s="117"/>
      <c r="I66" s="117"/>
      <c r="J66" s="118">
        <f>J287</f>
        <v>144528.81</v>
      </c>
      <c r="L66" s="115"/>
    </row>
    <row r="67" spans="2:12" s="9" customFormat="1" ht="19.899999999999999" customHeight="1" x14ac:dyDescent="0.3">
      <c r="B67" s="115"/>
      <c r="D67" s="116" t="s">
        <v>165</v>
      </c>
      <c r="E67" s="117"/>
      <c r="F67" s="117"/>
      <c r="G67" s="117"/>
      <c r="H67" s="117"/>
      <c r="I67" s="117"/>
      <c r="J67" s="118">
        <f>J303</f>
        <v>282566.82</v>
      </c>
      <c r="L67" s="115"/>
    </row>
    <row r="68" spans="2:12" s="8" customFormat="1" ht="24.95" customHeight="1" x14ac:dyDescent="0.3">
      <c r="B68" s="111"/>
      <c r="D68" s="112" t="s">
        <v>166</v>
      </c>
      <c r="E68" s="113"/>
      <c r="F68" s="113"/>
      <c r="G68" s="113"/>
      <c r="H68" s="113"/>
      <c r="I68" s="113"/>
      <c r="J68" s="114">
        <f>J308</f>
        <v>47244.24</v>
      </c>
      <c r="L68" s="111"/>
    </row>
    <row r="69" spans="2:12" s="9" customFormat="1" ht="19.899999999999999" customHeight="1" x14ac:dyDescent="0.3">
      <c r="B69" s="115"/>
      <c r="D69" s="116" t="s">
        <v>735</v>
      </c>
      <c r="E69" s="117"/>
      <c r="F69" s="117"/>
      <c r="G69" s="117"/>
      <c r="H69" s="117"/>
      <c r="I69" s="117"/>
      <c r="J69" s="118">
        <f>J309</f>
        <v>47244.24</v>
      </c>
      <c r="L69" s="115"/>
    </row>
    <row r="70" spans="2:12" s="8" customFormat="1" ht="24.95" customHeight="1" x14ac:dyDescent="0.3">
      <c r="B70" s="111"/>
      <c r="D70" s="112" t="s">
        <v>736</v>
      </c>
      <c r="E70" s="113"/>
      <c r="F70" s="113"/>
      <c r="G70" s="113"/>
      <c r="H70" s="113"/>
      <c r="I70" s="113"/>
      <c r="J70" s="114">
        <f>J313</f>
        <v>174067.26</v>
      </c>
      <c r="L70" s="111"/>
    </row>
    <row r="71" spans="2:12" s="9" customFormat="1" ht="19.899999999999999" customHeight="1" x14ac:dyDescent="0.3">
      <c r="B71" s="115"/>
      <c r="D71" s="116" t="s">
        <v>737</v>
      </c>
      <c r="E71" s="117"/>
      <c r="F71" s="117"/>
      <c r="G71" s="117"/>
      <c r="H71" s="117"/>
      <c r="I71" s="117"/>
      <c r="J71" s="118">
        <f>J314</f>
        <v>151238.89000000001</v>
      </c>
      <c r="L71" s="115"/>
    </row>
    <row r="72" spans="2:12" s="9" customFormat="1" ht="19.899999999999999" customHeight="1" x14ac:dyDescent="0.3">
      <c r="B72" s="115"/>
      <c r="D72" s="116" t="s">
        <v>1829</v>
      </c>
      <c r="E72" s="117"/>
      <c r="F72" s="117"/>
      <c r="G72" s="117"/>
      <c r="H72" s="117"/>
      <c r="I72" s="117"/>
      <c r="J72" s="118">
        <f>J321</f>
        <v>22828.37</v>
      </c>
      <c r="L72" s="115"/>
    </row>
    <row r="73" spans="2:12" s="1" customFormat="1" ht="21.75" customHeight="1" x14ac:dyDescent="0.3">
      <c r="B73" s="33"/>
      <c r="L73" s="33"/>
    </row>
    <row r="74" spans="2:12" s="1" customFormat="1" ht="6.9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33"/>
    </row>
    <row r="78" spans="2:12" s="1" customFormat="1" ht="6.95" customHeight="1" x14ac:dyDescent="0.3">
      <c r="B78" s="47"/>
      <c r="C78" s="48"/>
      <c r="D78" s="48"/>
      <c r="E78" s="48"/>
      <c r="F78" s="48"/>
      <c r="G78" s="48"/>
      <c r="H78" s="48"/>
      <c r="I78" s="48"/>
      <c r="J78" s="48"/>
      <c r="K78" s="48"/>
      <c r="L78" s="33"/>
    </row>
    <row r="79" spans="2:12" s="1" customFormat="1" ht="24.95" customHeight="1" x14ac:dyDescent="0.3">
      <c r="B79" s="33"/>
      <c r="C79" s="22" t="s">
        <v>168</v>
      </c>
      <c r="L79" s="33"/>
    </row>
    <row r="80" spans="2:12" s="1" customFormat="1" ht="6.95" customHeight="1" x14ac:dyDescent="0.3">
      <c r="B80" s="33"/>
      <c r="L80" s="33"/>
    </row>
    <row r="81" spans="2:65" s="1" customFormat="1" ht="12" customHeight="1" x14ac:dyDescent="0.3">
      <c r="B81" s="33"/>
      <c r="C81" s="28" t="s">
        <v>15</v>
      </c>
      <c r="L81" s="33"/>
    </row>
    <row r="82" spans="2:65" s="1" customFormat="1" ht="16.5" customHeight="1" x14ac:dyDescent="0.3">
      <c r="B82" s="33"/>
      <c r="E82" s="324" t="str">
        <f>E7</f>
        <v>Obnova ulice Tyršova, Dobrovice - II. etapa</v>
      </c>
      <c r="F82" s="325"/>
      <c r="G82" s="325"/>
      <c r="H82" s="325"/>
      <c r="L82" s="33"/>
    </row>
    <row r="83" spans="2:65" s="1" customFormat="1" ht="12" customHeight="1" x14ac:dyDescent="0.3">
      <c r="B83" s="33"/>
      <c r="C83" s="28" t="s">
        <v>152</v>
      </c>
      <c r="L83" s="33"/>
    </row>
    <row r="84" spans="2:65" s="1" customFormat="1" ht="16.5" customHeight="1" x14ac:dyDescent="0.3">
      <c r="B84" s="33"/>
      <c r="E84" s="308" t="str">
        <f>E9</f>
        <v>SO 303.II - Odvodnění komunikace II. etapa</v>
      </c>
      <c r="F84" s="326"/>
      <c r="G84" s="326"/>
      <c r="H84" s="326"/>
      <c r="L84" s="33"/>
    </row>
    <row r="85" spans="2:65" s="1" customFormat="1" ht="6.95" customHeight="1" x14ac:dyDescent="0.3">
      <c r="B85" s="33"/>
      <c r="L85" s="33"/>
    </row>
    <row r="86" spans="2:65" s="1" customFormat="1" ht="12" customHeight="1" x14ac:dyDescent="0.3">
      <c r="B86" s="33"/>
      <c r="C86" s="28" t="s">
        <v>21</v>
      </c>
      <c r="F86" s="26" t="str">
        <f>F12</f>
        <v>Dobrovice</v>
      </c>
      <c r="I86" s="28" t="s">
        <v>23</v>
      </c>
      <c r="J86" s="53">
        <f>IF(J12="","",J12)</f>
        <v>45678</v>
      </c>
      <c r="L86" s="33"/>
    </row>
    <row r="87" spans="2:65" s="1" customFormat="1" ht="6.95" customHeight="1" x14ac:dyDescent="0.3">
      <c r="B87" s="33"/>
      <c r="L87" s="33"/>
    </row>
    <row r="88" spans="2:65" s="1" customFormat="1" ht="25.7" customHeight="1" x14ac:dyDescent="0.3">
      <c r="B88" s="33"/>
      <c r="C88" s="28" t="s">
        <v>28</v>
      </c>
      <c r="F88" s="26" t="str">
        <f>E15</f>
        <v>Město Dobrovice, Palckého nám. 28, 294 41</v>
      </c>
      <c r="I88" s="28" t="s">
        <v>34</v>
      </c>
      <c r="J88" s="96" t="str">
        <f>E21</f>
        <v>Ing. arch. Martin Jirovský Ph.D., MBA</v>
      </c>
      <c r="L88" s="33"/>
    </row>
    <row r="89" spans="2:65" s="1" customFormat="1" ht="40.15" customHeight="1" x14ac:dyDescent="0.3">
      <c r="B89" s="33"/>
      <c r="C89" s="28" t="s">
        <v>33</v>
      </c>
      <c r="F89" s="26">
        <f>IF(E18="","",E18)</f>
        <v>0</v>
      </c>
      <c r="I89" s="28" t="s">
        <v>38</v>
      </c>
      <c r="J89" s="96" t="str">
        <f>E24</f>
        <v>ROAD M.A.A.T. s.r.o., Petra Stejskalová</v>
      </c>
      <c r="L89" s="33"/>
    </row>
    <row r="90" spans="2:65" s="1" customFormat="1" ht="10.35" customHeight="1" x14ac:dyDescent="0.3">
      <c r="B90" s="33"/>
      <c r="L90" s="33"/>
    </row>
    <row r="91" spans="2:65" s="10" customFormat="1" ht="29.25" customHeight="1" x14ac:dyDescent="0.3">
      <c r="B91" s="119"/>
      <c r="C91" s="120" t="s">
        <v>169</v>
      </c>
      <c r="D91" s="121" t="s">
        <v>66</v>
      </c>
      <c r="E91" s="121" t="s">
        <v>63</v>
      </c>
      <c r="F91" s="121" t="s">
        <v>170</v>
      </c>
      <c r="G91" s="121" t="s">
        <v>171</v>
      </c>
      <c r="H91" s="121" t="s">
        <v>172</v>
      </c>
      <c r="I91" s="121" t="s">
        <v>173</v>
      </c>
      <c r="J91" s="121" t="s">
        <v>157</v>
      </c>
      <c r="K91" s="122" t="s">
        <v>174</v>
      </c>
      <c r="L91" s="119"/>
      <c r="M91" s="60" t="s">
        <v>1</v>
      </c>
      <c r="N91" s="61" t="s">
        <v>46</v>
      </c>
      <c r="O91" s="61" t="s">
        <v>175</v>
      </c>
      <c r="P91" s="61" t="s">
        <v>176</v>
      </c>
      <c r="Q91" s="61" t="s">
        <v>177</v>
      </c>
      <c r="R91" s="61" t="s">
        <v>178</v>
      </c>
      <c r="S91" s="61" t="s">
        <v>179</v>
      </c>
      <c r="T91" s="62" t="s">
        <v>180</v>
      </c>
    </row>
    <row r="92" spans="2:65" s="1" customFormat="1" ht="22.9" customHeight="1" x14ac:dyDescent="0.25">
      <c r="B92" s="33"/>
      <c r="C92" s="65" t="s">
        <v>181</v>
      </c>
      <c r="J92" s="123">
        <f>BK92</f>
        <v>4863494.5</v>
      </c>
      <c r="L92" s="33"/>
      <c r="M92" s="63"/>
      <c r="N92" s="54"/>
      <c r="O92" s="54"/>
      <c r="P92" s="124">
        <f>P93+P308+P313</f>
        <v>3452.0042669999998</v>
      </c>
      <c r="Q92" s="54"/>
      <c r="R92" s="124">
        <f>R93+R308+R313</f>
        <v>462.68089223000004</v>
      </c>
      <c r="S92" s="54"/>
      <c r="T92" s="125">
        <f>T93+T308+T313</f>
        <v>218.07955999999999</v>
      </c>
      <c r="AT92" s="18" t="s">
        <v>80</v>
      </c>
      <c r="AU92" s="18" t="s">
        <v>159</v>
      </c>
      <c r="BK92" s="126">
        <f>BK93+BK308+BK313</f>
        <v>4863494.5</v>
      </c>
    </row>
    <row r="93" spans="2:65" s="11" customFormat="1" ht="25.9" customHeight="1" x14ac:dyDescent="0.2">
      <c r="B93" s="127"/>
      <c r="D93" s="128" t="s">
        <v>80</v>
      </c>
      <c r="E93" s="129" t="s">
        <v>182</v>
      </c>
      <c r="F93" s="129" t="s">
        <v>183</v>
      </c>
      <c r="J93" s="130">
        <f>BK93</f>
        <v>4642183</v>
      </c>
      <c r="L93" s="127"/>
      <c r="M93" s="131"/>
      <c r="P93" s="132">
        <f>P94+P164+P181+P192+P265+P287+P303</f>
        <v>3448.7882669999999</v>
      </c>
      <c r="R93" s="132">
        <f>R94+R164+R181+R192+R265+R287+R303</f>
        <v>462.55729223000003</v>
      </c>
      <c r="T93" s="133">
        <f>T94+T164+T181+T192+T265+T287+T303</f>
        <v>218.07955999999999</v>
      </c>
      <c r="AR93" s="128" t="s">
        <v>88</v>
      </c>
      <c r="AT93" s="134" t="s">
        <v>80</v>
      </c>
      <c r="AU93" s="134" t="s">
        <v>81</v>
      </c>
      <c r="AY93" s="128" t="s">
        <v>184</v>
      </c>
      <c r="BK93" s="135">
        <f>BK94+BK164+BK181+BK192+BK265+BK287+BK303</f>
        <v>4642183</v>
      </c>
    </row>
    <row r="94" spans="2:65" s="11" customFormat="1" ht="22.9" customHeight="1" x14ac:dyDescent="0.2">
      <c r="B94" s="127"/>
      <c r="D94" s="128" t="s">
        <v>80</v>
      </c>
      <c r="E94" s="136" t="s">
        <v>88</v>
      </c>
      <c r="F94" s="136" t="s">
        <v>185</v>
      </c>
      <c r="J94" s="137">
        <f>BK94</f>
        <v>1970391.59</v>
      </c>
      <c r="L94" s="127"/>
      <c r="M94" s="131"/>
      <c r="P94" s="132">
        <f>SUM(P95:P163)</f>
        <v>1343.1909909999999</v>
      </c>
      <c r="R94" s="132">
        <f>SUM(R95:R163)</f>
        <v>302.55047999999999</v>
      </c>
      <c r="T94" s="133">
        <f>SUM(T95:T163)</f>
        <v>213.70439999999999</v>
      </c>
      <c r="AR94" s="128" t="s">
        <v>88</v>
      </c>
      <c r="AT94" s="134" t="s">
        <v>80</v>
      </c>
      <c r="AU94" s="134" t="s">
        <v>88</v>
      </c>
      <c r="AY94" s="128" t="s">
        <v>184</v>
      </c>
      <c r="BK94" s="135">
        <f>SUM(BK95:BK163)</f>
        <v>1970391.59</v>
      </c>
    </row>
    <row r="95" spans="2:65" s="1" customFormat="1" ht="37.9" customHeight="1" x14ac:dyDescent="0.3">
      <c r="B95" s="33"/>
      <c r="C95" s="138" t="s">
        <v>88</v>
      </c>
      <c r="D95" s="138" t="s">
        <v>186</v>
      </c>
      <c r="E95" s="139" t="s">
        <v>743</v>
      </c>
      <c r="F95" s="140" t="s">
        <v>1830</v>
      </c>
      <c r="G95" s="141" t="s">
        <v>189</v>
      </c>
      <c r="H95" s="142">
        <v>254.41</v>
      </c>
      <c r="I95" s="143">
        <v>229.08</v>
      </c>
      <c r="J95" s="144">
        <f>ROUND(I95*H95,2)</f>
        <v>58280.24</v>
      </c>
      <c r="K95" s="140" t="s">
        <v>190</v>
      </c>
      <c r="L95" s="33"/>
      <c r="M95" s="145" t="s">
        <v>1</v>
      </c>
      <c r="N95" s="146" t="s">
        <v>47</v>
      </c>
      <c r="O95" s="147">
        <v>0.315</v>
      </c>
      <c r="P95" s="147">
        <f>O95*H95</f>
        <v>80.139150000000001</v>
      </c>
      <c r="Q95" s="147">
        <v>0</v>
      </c>
      <c r="R95" s="147">
        <f>Q95*H95</f>
        <v>0</v>
      </c>
      <c r="S95" s="147">
        <v>0.62</v>
      </c>
      <c r="T95" s="148">
        <f>S95*H95</f>
        <v>157.73419999999999</v>
      </c>
      <c r="AR95" s="149" t="s">
        <v>191</v>
      </c>
      <c r="AT95" s="149" t="s">
        <v>186</v>
      </c>
      <c r="AU95" s="149" t="s">
        <v>20</v>
      </c>
      <c r="AY95" s="18" t="s">
        <v>184</v>
      </c>
      <c r="BE95" s="150">
        <f>IF(N95="základní",J95,0)</f>
        <v>58280.24</v>
      </c>
      <c r="BF95" s="150">
        <f>IF(N95="snížená",J95,0)</f>
        <v>0</v>
      </c>
      <c r="BG95" s="150">
        <f>IF(N95="zákl. přenesená",J95,0)</f>
        <v>0</v>
      </c>
      <c r="BH95" s="150">
        <f>IF(N95="sníž. přenesená",J95,0)</f>
        <v>0</v>
      </c>
      <c r="BI95" s="150">
        <f>IF(N95="nulová",J95,0)</f>
        <v>0</v>
      </c>
      <c r="BJ95" s="18" t="s">
        <v>88</v>
      </c>
      <c r="BK95" s="150">
        <f>ROUND(I95*H95,2)</f>
        <v>58280.24</v>
      </c>
      <c r="BL95" s="18" t="s">
        <v>191</v>
      </c>
      <c r="BM95" s="149" t="s">
        <v>1831</v>
      </c>
    </row>
    <row r="96" spans="2:65" s="1" customFormat="1" x14ac:dyDescent="0.3">
      <c r="B96" s="33"/>
      <c r="D96" s="151" t="s">
        <v>193</v>
      </c>
      <c r="F96" s="152" t="s">
        <v>746</v>
      </c>
      <c r="I96" s="153"/>
      <c r="L96" s="33"/>
      <c r="M96" s="154"/>
      <c r="T96" s="57"/>
      <c r="AT96" s="18" t="s">
        <v>193</v>
      </c>
      <c r="AU96" s="18" t="s">
        <v>20</v>
      </c>
    </row>
    <row r="97" spans="2:65" s="12" customFormat="1" ht="11.25" x14ac:dyDescent="0.3">
      <c r="B97" s="155"/>
      <c r="D97" s="156" t="s">
        <v>195</v>
      </c>
      <c r="E97" s="157" t="s">
        <v>1</v>
      </c>
      <c r="F97" s="158" t="s">
        <v>1832</v>
      </c>
      <c r="H97" s="159">
        <v>254.41</v>
      </c>
      <c r="I97" s="160"/>
      <c r="L97" s="155"/>
      <c r="M97" s="161"/>
      <c r="T97" s="162"/>
      <c r="AT97" s="157" t="s">
        <v>195</v>
      </c>
      <c r="AU97" s="157" t="s">
        <v>20</v>
      </c>
      <c r="AV97" s="12" t="s">
        <v>20</v>
      </c>
      <c r="AW97" s="12" t="s">
        <v>37</v>
      </c>
      <c r="AX97" s="12" t="s">
        <v>88</v>
      </c>
      <c r="AY97" s="157" t="s">
        <v>184</v>
      </c>
    </row>
    <row r="98" spans="2:65" s="1" customFormat="1" ht="37.9" customHeight="1" x14ac:dyDescent="0.3">
      <c r="B98" s="33"/>
      <c r="C98" s="138" t="s">
        <v>20</v>
      </c>
      <c r="D98" s="138" t="s">
        <v>186</v>
      </c>
      <c r="E98" s="139" t="s">
        <v>1833</v>
      </c>
      <c r="F98" s="140" t="s">
        <v>1834</v>
      </c>
      <c r="G98" s="141" t="s">
        <v>189</v>
      </c>
      <c r="H98" s="142">
        <v>254.41</v>
      </c>
      <c r="I98" s="143">
        <v>91.63</v>
      </c>
      <c r="J98" s="144">
        <f>ROUND(I98*H98,2)</f>
        <v>23311.59</v>
      </c>
      <c r="K98" s="140" t="s">
        <v>190</v>
      </c>
      <c r="L98" s="33"/>
      <c r="M98" s="145" t="s">
        <v>1</v>
      </c>
      <c r="N98" s="146" t="s">
        <v>47</v>
      </c>
      <c r="O98" s="147">
        <v>0.16900000000000001</v>
      </c>
      <c r="P98" s="147">
        <f>O98*H98</f>
        <v>42.995290000000004</v>
      </c>
      <c r="Q98" s="147">
        <v>0</v>
      </c>
      <c r="R98" s="147">
        <f>Q98*H98</f>
        <v>0</v>
      </c>
      <c r="S98" s="147">
        <v>0.22</v>
      </c>
      <c r="T98" s="148">
        <f>S98*H98</f>
        <v>55.970199999999998</v>
      </c>
      <c r="AR98" s="149" t="s">
        <v>191</v>
      </c>
      <c r="AT98" s="149" t="s">
        <v>186</v>
      </c>
      <c r="AU98" s="149" t="s">
        <v>20</v>
      </c>
      <c r="AY98" s="18" t="s">
        <v>184</v>
      </c>
      <c r="BE98" s="150">
        <f>IF(N98="základní",J98,0)</f>
        <v>23311.59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8" t="s">
        <v>88</v>
      </c>
      <c r="BK98" s="150">
        <f>ROUND(I98*H98,2)</f>
        <v>23311.59</v>
      </c>
      <c r="BL98" s="18" t="s">
        <v>191</v>
      </c>
      <c r="BM98" s="149" t="s">
        <v>1835</v>
      </c>
    </row>
    <row r="99" spans="2:65" s="1" customFormat="1" x14ac:dyDescent="0.3">
      <c r="B99" s="33"/>
      <c r="D99" s="151" t="s">
        <v>193</v>
      </c>
      <c r="F99" s="152" t="s">
        <v>1836</v>
      </c>
      <c r="I99" s="153"/>
      <c r="L99" s="33"/>
      <c r="M99" s="154"/>
      <c r="T99" s="57"/>
      <c r="AT99" s="18" t="s">
        <v>193</v>
      </c>
      <c r="AU99" s="18" t="s">
        <v>20</v>
      </c>
    </row>
    <row r="100" spans="2:65" s="12" customFormat="1" ht="11.25" x14ac:dyDescent="0.3">
      <c r="B100" s="155"/>
      <c r="D100" s="156" t="s">
        <v>195</v>
      </c>
      <c r="E100" s="157" t="s">
        <v>1</v>
      </c>
      <c r="F100" s="158" t="s">
        <v>1832</v>
      </c>
      <c r="H100" s="159">
        <v>254.41</v>
      </c>
      <c r="I100" s="160"/>
      <c r="L100" s="155"/>
      <c r="M100" s="161"/>
      <c r="T100" s="162"/>
      <c r="AT100" s="157" t="s">
        <v>195</v>
      </c>
      <c r="AU100" s="157" t="s">
        <v>20</v>
      </c>
      <c r="AV100" s="12" t="s">
        <v>20</v>
      </c>
      <c r="AW100" s="12" t="s">
        <v>37</v>
      </c>
      <c r="AX100" s="12" t="s">
        <v>88</v>
      </c>
      <c r="AY100" s="157" t="s">
        <v>184</v>
      </c>
    </row>
    <row r="101" spans="2:65" s="1" customFormat="1" ht="21.75" customHeight="1" x14ac:dyDescent="0.3">
      <c r="B101" s="33"/>
      <c r="C101" s="138" t="s">
        <v>202</v>
      </c>
      <c r="D101" s="138" t="s">
        <v>186</v>
      </c>
      <c r="E101" s="139" t="s">
        <v>752</v>
      </c>
      <c r="F101" s="140" t="s">
        <v>1837</v>
      </c>
      <c r="G101" s="141" t="s">
        <v>754</v>
      </c>
      <c r="H101" s="142">
        <v>10</v>
      </c>
      <c r="I101" s="143">
        <v>198.53</v>
      </c>
      <c r="J101" s="144">
        <f>ROUND(I101*H101,2)</f>
        <v>1985.3</v>
      </c>
      <c r="K101" s="140" t="s">
        <v>190</v>
      </c>
      <c r="L101" s="33"/>
      <c r="M101" s="145" t="s">
        <v>1</v>
      </c>
      <c r="N101" s="146" t="s">
        <v>47</v>
      </c>
      <c r="O101" s="147">
        <v>0.27800000000000002</v>
      </c>
      <c r="P101" s="147">
        <f>O101*H101</f>
        <v>2.7800000000000002</v>
      </c>
      <c r="Q101" s="147">
        <v>4.0000000000000003E-5</v>
      </c>
      <c r="R101" s="147">
        <f>Q101*H101</f>
        <v>4.0000000000000002E-4</v>
      </c>
      <c r="S101" s="147">
        <v>0</v>
      </c>
      <c r="T101" s="148">
        <f>S101*H101</f>
        <v>0</v>
      </c>
      <c r="AR101" s="149" t="s">
        <v>191</v>
      </c>
      <c r="AT101" s="149" t="s">
        <v>186</v>
      </c>
      <c r="AU101" s="149" t="s">
        <v>20</v>
      </c>
      <c r="AY101" s="18" t="s">
        <v>184</v>
      </c>
      <c r="BE101" s="150">
        <f>IF(N101="základní",J101,0)</f>
        <v>1985.3</v>
      </c>
      <c r="BF101" s="150">
        <f>IF(N101="snížená",J101,0)</f>
        <v>0</v>
      </c>
      <c r="BG101" s="150">
        <f>IF(N101="zákl. přenesená",J101,0)</f>
        <v>0</v>
      </c>
      <c r="BH101" s="150">
        <f>IF(N101="sníž. přenesená",J101,0)</f>
        <v>0</v>
      </c>
      <c r="BI101" s="150">
        <f>IF(N101="nulová",J101,0)</f>
        <v>0</v>
      </c>
      <c r="BJ101" s="18" t="s">
        <v>88</v>
      </c>
      <c r="BK101" s="150">
        <f>ROUND(I101*H101,2)</f>
        <v>1985.3</v>
      </c>
      <c r="BL101" s="18" t="s">
        <v>191</v>
      </c>
      <c r="BM101" s="149" t="s">
        <v>1838</v>
      </c>
    </row>
    <row r="102" spans="2:65" s="1" customFormat="1" x14ac:dyDescent="0.3">
      <c r="B102" s="33"/>
      <c r="D102" s="151" t="s">
        <v>193</v>
      </c>
      <c r="F102" s="152" t="s">
        <v>1839</v>
      </c>
      <c r="I102" s="153"/>
      <c r="L102" s="33"/>
      <c r="M102" s="154"/>
      <c r="T102" s="57"/>
      <c r="AT102" s="18" t="s">
        <v>193</v>
      </c>
      <c r="AU102" s="18" t="s">
        <v>20</v>
      </c>
    </row>
    <row r="103" spans="2:65" s="1" customFormat="1" ht="19.5" x14ac:dyDescent="0.3">
      <c r="B103" s="33"/>
      <c r="D103" s="156" t="s">
        <v>236</v>
      </c>
      <c r="F103" s="170" t="s">
        <v>756</v>
      </c>
      <c r="I103" s="153"/>
      <c r="L103" s="33"/>
      <c r="M103" s="154"/>
      <c r="T103" s="57"/>
      <c r="AT103" s="18" t="s">
        <v>236</v>
      </c>
      <c r="AU103" s="18" t="s">
        <v>20</v>
      </c>
    </row>
    <row r="104" spans="2:65" s="1" customFormat="1" ht="24.2" customHeight="1" x14ac:dyDescent="0.3">
      <c r="B104" s="33"/>
      <c r="C104" s="138" t="s">
        <v>191</v>
      </c>
      <c r="D104" s="138" t="s">
        <v>186</v>
      </c>
      <c r="E104" s="139" t="s">
        <v>757</v>
      </c>
      <c r="F104" s="140" t="s">
        <v>1840</v>
      </c>
      <c r="G104" s="141" t="s">
        <v>759</v>
      </c>
      <c r="H104" s="142">
        <v>20</v>
      </c>
      <c r="I104" s="143">
        <v>106.9</v>
      </c>
      <c r="J104" s="144">
        <f>ROUND(I104*H104,2)</f>
        <v>2138</v>
      </c>
      <c r="K104" s="140" t="s">
        <v>190</v>
      </c>
      <c r="L104" s="33"/>
      <c r="M104" s="145" t="s">
        <v>1</v>
      </c>
      <c r="N104" s="146" t="s">
        <v>47</v>
      </c>
      <c r="O104" s="147">
        <v>0</v>
      </c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49" t="s">
        <v>191</v>
      </c>
      <c r="AT104" s="149" t="s">
        <v>186</v>
      </c>
      <c r="AU104" s="149" t="s">
        <v>20</v>
      </c>
      <c r="AY104" s="18" t="s">
        <v>184</v>
      </c>
      <c r="BE104" s="150">
        <f>IF(N104="základní",J104,0)</f>
        <v>2138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8" t="s">
        <v>88</v>
      </c>
      <c r="BK104" s="150">
        <f>ROUND(I104*H104,2)</f>
        <v>2138</v>
      </c>
      <c r="BL104" s="18" t="s">
        <v>191</v>
      </c>
      <c r="BM104" s="149" t="s">
        <v>1841</v>
      </c>
    </row>
    <row r="105" spans="2:65" s="1" customFormat="1" x14ac:dyDescent="0.3">
      <c r="B105" s="33"/>
      <c r="D105" s="151" t="s">
        <v>193</v>
      </c>
      <c r="F105" s="152" t="s">
        <v>1842</v>
      </c>
      <c r="I105" s="153"/>
      <c r="L105" s="33"/>
      <c r="M105" s="154"/>
      <c r="T105" s="57"/>
      <c r="AT105" s="18" t="s">
        <v>193</v>
      </c>
      <c r="AU105" s="18" t="s">
        <v>20</v>
      </c>
    </row>
    <row r="106" spans="2:65" s="1" customFormat="1" ht="19.5" x14ac:dyDescent="0.3">
      <c r="B106" s="33"/>
      <c r="D106" s="156" t="s">
        <v>236</v>
      </c>
      <c r="F106" s="170" t="s">
        <v>756</v>
      </c>
      <c r="I106" s="153"/>
      <c r="L106" s="33"/>
      <c r="M106" s="154"/>
      <c r="T106" s="57"/>
      <c r="AT106" s="18" t="s">
        <v>236</v>
      </c>
      <c r="AU106" s="18" t="s">
        <v>20</v>
      </c>
    </row>
    <row r="107" spans="2:65" s="1" customFormat="1" ht="24.2" customHeight="1" x14ac:dyDescent="0.3">
      <c r="B107" s="33"/>
      <c r="C107" s="138" t="s">
        <v>214</v>
      </c>
      <c r="D107" s="138" t="s">
        <v>186</v>
      </c>
      <c r="E107" s="139" t="s">
        <v>222</v>
      </c>
      <c r="F107" s="140" t="s">
        <v>1452</v>
      </c>
      <c r="G107" s="141" t="s">
        <v>217</v>
      </c>
      <c r="H107" s="142">
        <v>16.899999999999999</v>
      </c>
      <c r="I107" s="143">
        <v>474.04</v>
      </c>
      <c r="J107" s="144">
        <f>ROUND(I107*H107,2)</f>
        <v>8011.28</v>
      </c>
      <c r="K107" s="140" t="s">
        <v>190</v>
      </c>
      <c r="L107" s="33"/>
      <c r="M107" s="145" t="s">
        <v>1</v>
      </c>
      <c r="N107" s="146" t="s">
        <v>47</v>
      </c>
      <c r="O107" s="147">
        <v>1.548</v>
      </c>
      <c r="P107" s="147">
        <f>O107*H107</f>
        <v>26.161199999999997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49" t="s">
        <v>191</v>
      </c>
      <c r="AT107" s="149" t="s">
        <v>186</v>
      </c>
      <c r="AU107" s="149" t="s">
        <v>20</v>
      </c>
      <c r="AY107" s="18" t="s">
        <v>184</v>
      </c>
      <c r="BE107" s="150">
        <f>IF(N107="základní",J107,0)</f>
        <v>8011.28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8" t="s">
        <v>88</v>
      </c>
      <c r="BK107" s="150">
        <f>ROUND(I107*H107,2)</f>
        <v>8011.28</v>
      </c>
      <c r="BL107" s="18" t="s">
        <v>191</v>
      </c>
      <c r="BM107" s="149" t="s">
        <v>1843</v>
      </c>
    </row>
    <row r="108" spans="2:65" s="1" customFormat="1" x14ac:dyDescent="0.3">
      <c r="B108" s="33"/>
      <c r="D108" s="151" t="s">
        <v>193</v>
      </c>
      <c r="F108" s="152" t="s">
        <v>225</v>
      </c>
      <c r="I108" s="153"/>
      <c r="L108" s="33"/>
      <c r="M108" s="154"/>
      <c r="T108" s="57"/>
      <c r="AT108" s="18" t="s">
        <v>193</v>
      </c>
      <c r="AU108" s="18" t="s">
        <v>20</v>
      </c>
    </row>
    <row r="109" spans="2:65" s="12" customFormat="1" ht="11.25" x14ac:dyDescent="0.3">
      <c r="B109" s="155"/>
      <c r="D109" s="156" t="s">
        <v>195</v>
      </c>
      <c r="E109" s="157" t="s">
        <v>1</v>
      </c>
      <c r="F109" s="158" t="s">
        <v>1844</v>
      </c>
      <c r="H109" s="159">
        <v>16.899999999999999</v>
      </c>
      <c r="I109" s="160"/>
      <c r="L109" s="155"/>
      <c r="M109" s="161"/>
      <c r="T109" s="162"/>
      <c r="AT109" s="157" t="s">
        <v>195</v>
      </c>
      <c r="AU109" s="157" t="s">
        <v>20</v>
      </c>
      <c r="AV109" s="12" t="s">
        <v>20</v>
      </c>
      <c r="AW109" s="12" t="s">
        <v>37</v>
      </c>
      <c r="AX109" s="12" t="s">
        <v>88</v>
      </c>
      <c r="AY109" s="157" t="s">
        <v>184</v>
      </c>
    </row>
    <row r="110" spans="2:65" s="1" customFormat="1" ht="24.2" customHeight="1" x14ac:dyDescent="0.3">
      <c r="B110" s="33"/>
      <c r="C110" s="138" t="s">
        <v>221</v>
      </c>
      <c r="D110" s="138" t="s">
        <v>186</v>
      </c>
      <c r="E110" s="139" t="s">
        <v>763</v>
      </c>
      <c r="F110" s="140" t="s">
        <v>1845</v>
      </c>
      <c r="G110" s="141" t="s">
        <v>217</v>
      </c>
      <c r="H110" s="142">
        <v>32.700000000000003</v>
      </c>
      <c r="I110" s="143">
        <v>305.44</v>
      </c>
      <c r="J110" s="144">
        <f>ROUND(I110*H110,2)</f>
        <v>9987.89</v>
      </c>
      <c r="K110" s="140" t="s">
        <v>190</v>
      </c>
      <c r="L110" s="33"/>
      <c r="M110" s="145" t="s">
        <v>1</v>
      </c>
      <c r="N110" s="146" t="s">
        <v>47</v>
      </c>
      <c r="O110" s="147">
        <v>0.39400000000000002</v>
      </c>
      <c r="P110" s="147">
        <f>O110*H110</f>
        <v>12.883800000000001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AR110" s="149" t="s">
        <v>191</v>
      </c>
      <c r="AT110" s="149" t="s">
        <v>186</v>
      </c>
      <c r="AU110" s="149" t="s">
        <v>20</v>
      </c>
      <c r="AY110" s="18" t="s">
        <v>184</v>
      </c>
      <c r="BE110" s="150">
        <f>IF(N110="základní",J110,0)</f>
        <v>9987.89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8" t="s">
        <v>88</v>
      </c>
      <c r="BK110" s="150">
        <f>ROUND(I110*H110,2)</f>
        <v>9987.89</v>
      </c>
      <c r="BL110" s="18" t="s">
        <v>191</v>
      </c>
      <c r="BM110" s="149" t="s">
        <v>1846</v>
      </c>
    </row>
    <row r="111" spans="2:65" s="1" customFormat="1" x14ac:dyDescent="0.3">
      <c r="B111" s="33"/>
      <c r="D111" s="151" t="s">
        <v>193</v>
      </c>
      <c r="F111" s="152" t="s">
        <v>766</v>
      </c>
      <c r="I111" s="153"/>
      <c r="L111" s="33"/>
      <c r="M111" s="154"/>
      <c r="T111" s="57"/>
      <c r="AT111" s="18" t="s">
        <v>193</v>
      </c>
      <c r="AU111" s="18" t="s">
        <v>20</v>
      </c>
    </row>
    <row r="112" spans="2:65" s="1" customFormat="1" ht="39" x14ac:dyDescent="0.3">
      <c r="B112" s="33"/>
      <c r="D112" s="156" t="s">
        <v>236</v>
      </c>
      <c r="F112" s="170" t="s">
        <v>1847</v>
      </c>
      <c r="I112" s="153"/>
      <c r="L112" s="33"/>
      <c r="M112" s="154"/>
      <c r="T112" s="57"/>
      <c r="AT112" s="18" t="s">
        <v>236</v>
      </c>
      <c r="AU112" s="18" t="s">
        <v>20</v>
      </c>
    </row>
    <row r="113" spans="2:65" s="12" customFormat="1" ht="11.25" x14ac:dyDescent="0.3">
      <c r="B113" s="155"/>
      <c r="D113" s="156" t="s">
        <v>195</v>
      </c>
      <c r="E113" s="157" t="s">
        <v>1</v>
      </c>
      <c r="F113" s="158" t="s">
        <v>1848</v>
      </c>
      <c r="H113" s="159">
        <v>26.829000000000001</v>
      </c>
      <c r="I113" s="160"/>
      <c r="L113" s="155"/>
      <c r="M113" s="161"/>
      <c r="T113" s="162"/>
      <c r="AT113" s="157" t="s">
        <v>195</v>
      </c>
      <c r="AU113" s="157" t="s">
        <v>20</v>
      </c>
      <c r="AV113" s="12" t="s">
        <v>20</v>
      </c>
      <c r="AW113" s="12" t="s">
        <v>37</v>
      </c>
      <c r="AX113" s="12" t="s">
        <v>81</v>
      </c>
      <c r="AY113" s="157" t="s">
        <v>184</v>
      </c>
    </row>
    <row r="114" spans="2:65" s="12" customFormat="1" ht="11.25" x14ac:dyDescent="0.3">
      <c r="B114" s="155"/>
      <c r="D114" s="156" t="s">
        <v>195</v>
      </c>
      <c r="E114" s="157" t="s">
        <v>1</v>
      </c>
      <c r="F114" s="158" t="s">
        <v>1849</v>
      </c>
      <c r="H114" s="159">
        <v>5.8710000000000004</v>
      </c>
      <c r="I114" s="160"/>
      <c r="L114" s="155"/>
      <c r="M114" s="161"/>
      <c r="T114" s="162"/>
      <c r="AT114" s="157" t="s">
        <v>195</v>
      </c>
      <c r="AU114" s="157" t="s">
        <v>20</v>
      </c>
      <c r="AV114" s="12" t="s">
        <v>20</v>
      </c>
      <c r="AW114" s="12" t="s">
        <v>37</v>
      </c>
      <c r="AX114" s="12" t="s">
        <v>81</v>
      </c>
      <c r="AY114" s="157" t="s">
        <v>184</v>
      </c>
    </row>
    <row r="115" spans="2:65" s="13" customFormat="1" ht="11.25" x14ac:dyDescent="0.3">
      <c r="B115" s="163"/>
      <c r="D115" s="156" t="s">
        <v>195</v>
      </c>
      <c r="E115" s="164" t="s">
        <v>1</v>
      </c>
      <c r="F115" s="165" t="s">
        <v>230</v>
      </c>
      <c r="H115" s="166">
        <v>32.700000000000003</v>
      </c>
      <c r="I115" s="167"/>
      <c r="L115" s="163"/>
      <c r="M115" s="168"/>
      <c r="T115" s="169"/>
      <c r="AT115" s="164" t="s">
        <v>195</v>
      </c>
      <c r="AU115" s="164" t="s">
        <v>20</v>
      </c>
      <c r="AV115" s="13" t="s">
        <v>191</v>
      </c>
      <c r="AW115" s="13" t="s">
        <v>37</v>
      </c>
      <c r="AX115" s="13" t="s">
        <v>88</v>
      </c>
      <c r="AY115" s="164" t="s">
        <v>184</v>
      </c>
    </row>
    <row r="116" spans="2:65" s="1" customFormat="1" ht="24.2" customHeight="1" x14ac:dyDescent="0.3">
      <c r="B116" s="33"/>
      <c r="C116" s="138" t="s">
        <v>231</v>
      </c>
      <c r="D116" s="138" t="s">
        <v>186</v>
      </c>
      <c r="E116" s="139" t="s">
        <v>769</v>
      </c>
      <c r="F116" s="140" t="s">
        <v>1850</v>
      </c>
      <c r="G116" s="141" t="s">
        <v>217</v>
      </c>
      <c r="H116" s="142">
        <v>6.4509999999999996</v>
      </c>
      <c r="I116" s="143">
        <v>458.15</v>
      </c>
      <c r="J116" s="144">
        <f>ROUND(I116*H116,2)</f>
        <v>2955.53</v>
      </c>
      <c r="K116" s="140" t="s">
        <v>190</v>
      </c>
      <c r="L116" s="33"/>
      <c r="M116" s="145" t="s">
        <v>1</v>
      </c>
      <c r="N116" s="146" t="s">
        <v>47</v>
      </c>
      <c r="O116" s="147">
        <v>0.97499999999999998</v>
      </c>
      <c r="P116" s="147">
        <f>O116*H116</f>
        <v>6.2897249999999998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49" t="s">
        <v>191</v>
      </c>
      <c r="AT116" s="149" t="s">
        <v>186</v>
      </c>
      <c r="AU116" s="149" t="s">
        <v>20</v>
      </c>
      <c r="AY116" s="18" t="s">
        <v>184</v>
      </c>
      <c r="BE116" s="150">
        <f>IF(N116="základní",J116,0)</f>
        <v>2955.53</v>
      </c>
      <c r="BF116" s="150">
        <f>IF(N116="snížená",J116,0)</f>
        <v>0</v>
      </c>
      <c r="BG116" s="150">
        <f>IF(N116="zákl. přenesená",J116,0)</f>
        <v>0</v>
      </c>
      <c r="BH116" s="150">
        <f>IF(N116="sníž. přenesená",J116,0)</f>
        <v>0</v>
      </c>
      <c r="BI116" s="150">
        <f>IF(N116="nulová",J116,0)</f>
        <v>0</v>
      </c>
      <c r="BJ116" s="18" t="s">
        <v>88</v>
      </c>
      <c r="BK116" s="150">
        <f>ROUND(I116*H116,2)</f>
        <v>2955.53</v>
      </c>
      <c r="BL116" s="18" t="s">
        <v>191</v>
      </c>
      <c r="BM116" s="149" t="s">
        <v>1851</v>
      </c>
    </row>
    <row r="117" spans="2:65" s="1" customFormat="1" x14ac:dyDescent="0.3">
      <c r="B117" s="33"/>
      <c r="D117" s="151" t="s">
        <v>193</v>
      </c>
      <c r="F117" s="152" t="s">
        <v>772</v>
      </c>
      <c r="I117" s="153"/>
      <c r="L117" s="33"/>
      <c r="M117" s="154"/>
      <c r="T117" s="57"/>
      <c r="AT117" s="18" t="s">
        <v>193</v>
      </c>
      <c r="AU117" s="18" t="s">
        <v>20</v>
      </c>
    </row>
    <row r="118" spans="2:65" s="12" customFormat="1" ht="11.25" x14ac:dyDescent="0.3">
      <c r="B118" s="155"/>
      <c r="D118" s="156" t="s">
        <v>195</v>
      </c>
      <c r="E118" s="157" t="s">
        <v>1</v>
      </c>
      <c r="F118" s="158" t="s">
        <v>1852</v>
      </c>
      <c r="H118" s="159">
        <v>6.4509999999999996</v>
      </c>
      <c r="I118" s="160"/>
      <c r="L118" s="155"/>
      <c r="M118" s="161"/>
      <c r="T118" s="162"/>
      <c r="AT118" s="157" t="s">
        <v>195</v>
      </c>
      <c r="AU118" s="157" t="s">
        <v>20</v>
      </c>
      <c r="AV118" s="12" t="s">
        <v>20</v>
      </c>
      <c r="AW118" s="12" t="s">
        <v>37</v>
      </c>
      <c r="AX118" s="12" t="s">
        <v>88</v>
      </c>
      <c r="AY118" s="157" t="s">
        <v>184</v>
      </c>
    </row>
    <row r="119" spans="2:65" s="1" customFormat="1" ht="33" customHeight="1" x14ac:dyDescent="0.3">
      <c r="B119" s="33"/>
      <c r="C119" s="138" t="s">
        <v>239</v>
      </c>
      <c r="D119" s="138" t="s">
        <v>186</v>
      </c>
      <c r="E119" s="139" t="s">
        <v>1853</v>
      </c>
      <c r="F119" s="140" t="s">
        <v>1854</v>
      </c>
      <c r="G119" s="141" t="s">
        <v>217</v>
      </c>
      <c r="H119" s="142">
        <v>690.84699999999998</v>
      </c>
      <c r="I119" s="143">
        <v>458.15</v>
      </c>
      <c r="J119" s="144">
        <f>ROUND(I119*H119,2)</f>
        <v>316511.55</v>
      </c>
      <c r="K119" s="140" t="s">
        <v>190</v>
      </c>
      <c r="L119" s="33"/>
      <c r="M119" s="145" t="s">
        <v>1</v>
      </c>
      <c r="N119" s="146" t="s">
        <v>47</v>
      </c>
      <c r="O119" s="147">
        <v>0.33600000000000002</v>
      </c>
      <c r="P119" s="147">
        <f>O119*H119</f>
        <v>232.12459200000001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49" t="s">
        <v>191</v>
      </c>
      <c r="AT119" s="149" t="s">
        <v>186</v>
      </c>
      <c r="AU119" s="149" t="s">
        <v>20</v>
      </c>
      <c r="AY119" s="18" t="s">
        <v>184</v>
      </c>
      <c r="BE119" s="150">
        <f>IF(N119="základní",J119,0)</f>
        <v>316511.55</v>
      </c>
      <c r="BF119" s="150">
        <f>IF(N119="snížená",J119,0)</f>
        <v>0</v>
      </c>
      <c r="BG119" s="150">
        <f>IF(N119="zákl. přenesená",J119,0)</f>
        <v>0</v>
      </c>
      <c r="BH119" s="150">
        <f>IF(N119="sníž. přenesená",J119,0)</f>
        <v>0</v>
      </c>
      <c r="BI119" s="150">
        <f>IF(N119="nulová",J119,0)</f>
        <v>0</v>
      </c>
      <c r="BJ119" s="18" t="s">
        <v>88</v>
      </c>
      <c r="BK119" s="150">
        <f>ROUND(I119*H119,2)</f>
        <v>316511.55</v>
      </c>
      <c r="BL119" s="18" t="s">
        <v>191</v>
      </c>
      <c r="BM119" s="149" t="s">
        <v>1855</v>
      </c>
    </row>
    <row r="120" spans="2:65" s="1" customFormat="1" x14ac:dyDescent="0.3">
      <c r="B120" s="33"/>
      <c r="D120" s="151" t="s">
        <v>193</v>
      </c>
      <c r="F120" s="152" t="s">
        <v>1856</v>
      </c>
      <c r="I120" s="153"/>
      <c r="L120" s="33"/>
      <c r="M120" s="154"/>
      <c r="T120" s="57"/>
      <c r="AT120" s="18" t="s">
        <v>193</v>
      </c>
      <c r="AU120" s="18" t="s">
        <v>20</v>
      </c>
    </row>
    <row r="121" spans="2:65" s="12" customFormat="1" ht="11.25" x14ac:dyDescent="0.3">
      <c r="B121" s="155"/>
      <c r="D121" s="156" t="s">
        <v>195</v>
      </c>
      <c r="E121" s="157" t="s">
        <v>1</v>
      </c>
      <c r="F121" s="158" t="s">
        <v>1857</v>
      </c>
      <c r="H121" s="159">
        <v>442.86099999999999</v>
      </c>
      <c r="I121" s="160"/>
      <c r="L121" s="155"/>
      <c r="M121" s="161"/>
      <c r="T121" s="162"/>
      <c r="AT121" s="157" t="s">
        <v>195</v>
      </c>
      <c r="AU121" s="157" t="s">
        <v>20</v>
      </c>
      <c r="AV121" s="12" t="s">
        <v>20</v>
      </c>
      <c r="AW121" s="12" t="s">
        <v>37</v>
      </c>
      <c r="AX121" s="12" t="s">
        <v>81</v>
      </c>
      <c r="AY121" s="157" t="s">
        <v>184</v>
      </c>
    </row>
    <row r="122" spans="2:65" s="12" customFormat="1" ht="11.25" x14ac:dyDescent="0.3">
      <c r="B122" s="155"/>
      <c r="D122" s="156" t="s">
        <v>195</v>
      </c>
      <c r="E122" s="157" t="s">
        <v>1</v>
      </c>
      <c r="F122" s="158" t="s">
        <v>1858</v>
      </c>
      <c r="H122" s="159">
        <v>247.98599999999999</v>
      </c>
      <c r="I122" s="160"/>
      <c r="L122" s="155"/>
      <c r="M122" s="161"/>
      <c r="T122" s="162"/>
      <c r="AT122" s="157" t="s">
        <v>195</v>
      </c>
      <c r="AU122" s="157" t="s">
        <v>20</v>
      </c>
      <c r="AV122" s="12" t="s">
        <v>20</v>
      </c>
      <c r="AW122" s="12" t="s">
        <v>37</v>
      </c>
      <c r="AX122" s="12" t="s">
        <v>81</v>
      </c>
      <c r="AY122" s="157" t="s">
        <v>184</v>
      </c>
    </row>
    <row r="123" spans="2:65" s="13" customFormat="1" ht="11.25" x14ac:dyDescent="0.3">
      <c r="B123" s="163"/>
      <c r="D123" s="156" t="s">
        <v>195</v>
      </c>
      <c r="E123" s="164" t="s">
        <v>1</v>
      </c>
      <c r="F123" s="165" t="s">
        <v>230</v>
      </c>
      <c r="H123" s="166">
        <v>690.84699999999998</v>
      </c>
      <c r="I123" s="167"/>
      <c r="L123" s="163"/>
      <c r="M123" s="168"/>
      <c r="T123" s="169"/>
      <c r="AT123" s="164" t="s">
        <v>195</v>
      </c>
      <c r="AU123" s="164" t="s">
        <v>20</v>
      </c>
      <c r="AV123" s="13" t="s">
        <v>191</v>
      </c>
      <c r="AW123" s="13" t="s">
        <v>37</v>
      </c>
      <c r="AX123" s="13" t="s">
        <v>88</v>
      </c>
      <c r="AY123" s="164" t="s">
        <v>184</v>
      </c>
    </row>
    <row r="124" spans="2:65" s="1" customFormat="1" ht="24.2" customHeight="1" x14ac:dyDescent="0.3">
      <c r="B124" s="33"/>
      <c r="C124" s="138" t="s">
        <v>245</v>
      </c>
      <c r="D124" s="138" t="s">
        <v>186</v>
      </c>
      <c r="E124" s="139" t="s">
        <v>1859</v>
      </c>
      <c r="F124" s="140" t="s">
        <v>1860</v>
      </c>
      <c r="G124" s="141" t="s">
        <v>217</v>
      </c>
      <c r="H124" s="142">
        <v>207.48</v>
      </c>
      <c r="I124" s="143">
        <v>503.97</v>
      </c>
      <c r="J124" s="144">
        <f>ROUND(I124*H124,2)</f>
        <v>104563.7</v>
      </c>
      <c r="K124" s="140" t="s">
        <v>190</v>
      </c>
      <c r="L124" s="33"/>
      <c r="M124" s="145" t="s">
        <v>1</v>
      </c>
      <c r="N124" s="146" t="s">
        <v>47</v>
      </c>
      <c r="O124" s="147">
        <v>0.72</v>
      </c>
      <c r="P124" s="147">
        <f>O124*H124</f>
        <v>149.38559999999998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49" t="s">
        <v>191</v>
      </c>
      <c r="AT124" s="149" t="s">
        <v>186</v>
      </c>
      <c r="AU124" s="149" t="s">
        <v>20</v>
      </c>
      <c r="AY124" s="18" t="s">
        <v>184</v>
      </c>
      <c r="BE124" s="150">
        <f>IF(N124="základní",J124,0)</f>
        <v>104563.7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8" t="s">
        <v>88</v>
      </c>
      <c r="BK124" s="150">
        <f>ROUND(I124*H124,2)</f>
        <v>104563.7</v>
      </c>
      <c r="BL124" s="18" t="s">
        <v>191</v>
      </c>
      <c r="BM124" s="149" t="s">
        <v>1861</v>
      </c>
    </row>
    <row r="125" spans="2:65" s="1" customFormat="1" x14ac:dyDescent="0.3">
      <c r="B125" s="33"/>
      <c r="D125" s="151" t="s">
        <v>193</v>
      </c>
      <c r="F125" s="152" t="s">
        <v>1862</v>
      </c>
      <c r="I125" s="153"/>
      <c r="L125" s="33"/>
      <c r="M125" s="154"/>
      <c r="T125" s="57"/>
      <c r="AT125" s="18" t="s">
        <v>193</v>
      </c>
      <c r="AU125" s="18" t="s">
        <v>20</v>
      </c>
    </row>
    <row r="126" spans="2:65" s="1" customFormat="1" ht="19.5" x14ac:dyDescent="0.3">
      <c r="B126" s="33"/>
      <c r="D126" s="156" t="s">
        <v>236</v>
      </c>
      <c r="F126" s="170" t="s">
        <v>1863</v>
      </c>
      <c r="I126" s="153"/>
      <c r="L126" s="33"/>
      <c r="M126" s="154"/>
      <c r="T126" s="57"/>
      <c r="AT126" s="18" t="s">
        <v>236</v>
      </c>
      <c r="AU126" s="18" t="s">
        <v>20</v>
      </c>
    </row>
    <row r="127" spans="2:65" s="12" customFormat="1" ht="11.25" x14ac:dyDescent="0.3">
      <c r="B127" s="155"/>
      <c r="D127" s="156" t="s">
        <v>195</v>
      </c>
      <c r="E127" s="157" t="s">
        <v>1</v>
      </c>
      <c r="F127" s="158" t="s">
        <v>1864</v>
      </c>
      <c r="H127" s="159">
        <v>202.26</v>
      </c>
      <c r="I127" s="160"/>
      <c r="L127" s="155"/>
      <c r="M127" s="161"/>
      <c r="T127" s="162"/>
      <c r="AT127" s="157" t="s">
        <v>195</v>
      </c>
      <c r="AU127" s="157" t="s">
        <v>20</v>
      </c>
      <c r="AV127" s="12" t="s">
        <v>20</v>
      </c>
      <c r="AW127" s="12" t="s">
        <v>37</v>
      </c>
      <c r="AX127" s="12" t="s">
        <v>81</v>
      </c>
      <c r="AY127" s="157" t="s">
        <v>184</v>
      </c>
    </row>
    <row r="128" spans="2:65" s="12" customFormat="1" ht="11.25" x14ac:dyDescent="0.3">
      <c r="B128" s="155"/>
      <c r="D128" s="156" t="s">
        <v>195</v>
      </c>
      <c r="E128" s="157" t="s">
        <v>1</v>
      </c>
      <c r="F128" s="158" t="s">
        <v>1865</v>
      </c>
      <c r="H128" s="159">
        <v>5.22</v>
      </c>
      <c r="I128" s="160"/>
      <c r="L128" s="155"/>
      <c r="M128" s="161"/>
      <c r="T128" s="162"/>
      <c r="AT128" s="157" t="s">
        <v>195</v>
      </c>
      <c r="AU128" s="157" t="s">
        <v>20</v>
      </c>
      <c r="AV128" s="12" t="s">
        <v>20</v>
      </c>
      <c r="AW128" s="12" t="s">
        <v>37</v>
      </c>
      <c r="AX128" s="12" t="s">
        <v>81</v>
      </c>
      <c r="AY128" s="157" t="s">
        <v>184</v>
      </c>
    </row>
    <row r="129" spans="2:65" s="13" customFormat="1" ht="11.25" x14ac:dyDescent="0.3">
      <c r="B129" s="163"/>
      <c r="D129" s="156" t="s">
        <v>195</v>
      </c>
      <c r="E129" s="164" t="s">
        <v>1</v>
      </c>
      <c r="F129" s="165" t="s">
        <v>230</v>
      </c>
      <c r="H129" s="166">
        <v>207.48</v>
      </c>
      <c r="I129" s="167"/>
      <c r="L129" s="163"/>
      <c r="M129" s="168"/>
      <c r="T129" s="169"/>
      <c r="AT129" s="164" t="s">
        <v>195</v>
      </c>
      <c r="AU129" s="164" t="s">
        <v>20</v>
      </c>
      <c r="AV129" s="13" t="s">
        <v>191</v>
      </c>
      <c r="AW129" s="13" t="s">
        <v>37</v>
      </c>
      <c r="AX129" s="13" t="s">
        <v>88</v>
      </c>
      <c r="AY129" s="164" t="s">
        <v>184</v>
      </c>
    </row>
    <row r="130" spans="2:65" s="1" customFormat="1" ht="24.2" customHeight="1" x14ac:dyDescent="0.3">
      <c r="B130" s="33"/>
      <c r="C130" s="138" t="s">
        <v>252</v>
      </c>
      <c r="D130" s="138" t="s">
        <v>186</v>
      </c>
      <c r="E130" s="139" t="s">
        <v>790</v>
      </c>
      <c r="F130" s="140" t="s">
        <v>1866</v>
      </c>
      <c r="G130" s="141" t="s">
        <v>189</v>
      </c>
      <c r="H130" s="142">
        <v>1598.4</v>
      </c>
      <c r="I130" s="143">
        <v>121.47</v>
      </c>
      <c r="J130" s="144">
        <f>ROUND(I130*H130,2)</f>
        <v>194157.65</v>
      </c>
      <c r="K130" s="140" t="s">
        <v>190</v>
      </c>
      <c r="L130" s="33"/>
      <c r="M130" s="145" t="s">
        <v>1</v>
      </c>
      <c r="N130" s="146" t="s">
        <v>47</v>
      </c>
      <c r="O130" s="147">
        <v>8.7999999999999995E-2</v>
      </c>
      <c r="P130" s="147">
        <f>O130*H130</f>
        <v>140.6592</v>
      </c>
      <c r="Q130" s="147">
        <v>5.8E-4</v>
      </c>
      <c r="R130" s="147">
        <f>Q130*H130</f>
        <v>0.92707200000000001</v>
      </c>
      <c r="S130" s="147">
        <v>0</v>
      </c>
      <c r="T130" s="148">
        <f>S130*H130</f>
        <v>0</v>
      </c>
      <c r="AR130" s="149" t="s">
        <v>191</v>
      </c>
      <c r="AT130" s="149" t="s">
        <v>186</v>
      </c>
      <c r="AU130" s="149" t="s">
        <v>20</v>
      </c>
      <c r="AY130" s="18" t="s">
        <v>184</v>
      </c>
      <c r="BE130" s="150">
        <f>IF(N130="základní",J130,0)</f>
        <v>194157.65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8" t="s">
        <v>88</v>
      </c>
      <c r="BK130" s="150">
        <f>ROUND(I130*H130,2)</f>
        <v>194157.65</v>
      </c>
      <c r="BL130" s="18" t="s">
        <v>191</v>
      </c>
      <c r="BM130" s="149" t="s">
        <v>1867</v>
      </c>
    </row>
    <row r="131" spans="2:65" s="1" customFormat="1" x14ac:dyDescent="0.3">
      <c r="B131" s="33"/>
      <c r="D131" s="151" t="s">
        <v>193</v>
      </c>
      <c r="F131" s="152" t="s">
        <v>793</v>
      </c>
      <c r="I131" s="153"/>
      <c r="L131" s="33"/>
      <c r="M131" s="154"/>
      <c r="T131" s="57"/>
      <c r="AT131" s="18" t="s">
        <v>193</v>
      </c>
      <c r="AU131" s="18" t="s">
        <v>20</v>
      </c>
    </row>
    <row r="132" spans="2:65" s="1" customFormat="1" ht="19.5" x14ac:dyDescent="0.3">
      <c r="B132" s="33"/>
      <c r="D132" s="156" t="s">
        <v>236</v>
      </c>
      <c r="F132" s="170" t="s">
        <v>1868</v>
      </c>
      <c r="I132" s="153"/>
      <c r="L132" s="33"/>
      <c r="M132" s="154"/>
      <c r="T132" s="57"/>
      <c r="AT132" s="18" t="s">
        <v>236</v>
      </c>
      <c r="AU132" s="18" t="s">
        <v>20</v>
      </c>
    </row>
    <row r="133" spans="2:65" s="12" customFormat="1" ht="11.25" x14ac:dyDescent="0.3">
      <c r="B133" s="155"/>
      <c r="D133" s="156" t="s">
        <v>195</v>
      </c>
      <c r="E133" s="157" t="s">
        <v>1</v>
      </c>
      <c r="F133" s="158" t="s">
        <v>1869</v>
      </c>
      <c r="H133" s="159">
        <v>1598.4</v>
      </c>
      <c r="I133" s="160"/>
      <c r="L133" s="155"/>
      <c r="M133" s="161"/>
      <c r="T133" s="162"/>
      <c r="AT133" s="157" t="s">
        <v>195</v>
      </c>
      <c r="AU133" s="157" t="s">
        <v>20</v>
      </c>
      <c r="AV133" s="12" t="s">
        <v>20</v>
      </c>
      <c r="AW133" s="12" t="s">
        <v>37</v>
      </c>
      <c r="AX133" s="12" t="s">
        <v>88</v>
      </c>
      <c r="AY133" s="157" t="s">
        <v>184</v>
      </c>
    </row>
    <row r="134" spans="2:65" s="1" customFormat="1" ht="24.2" customHeight="1" x14ac:dyDescent="0.3">
      <c r="B134" s="33"/>
      <c r="C134" s="138" t="s">
        <v>257</v>
      </c>
      <c r="D134" s="138" t="s">
        <v>186</v>
      </c>
      <c r="E134" s="139" t="s">
        <v>796</v>
      </c>
      <c r="F134" s="140" t="s">
        <v>1870</v>
      </c>
      <c r="G134" s="141" t="s">
        <v>189</v>
      </c>
      <c r="H134" s="142">
        <v>1598.4</v>
      </c>
      <c r="I134" s="143">
        <v>140.16</v>
      </c>
      <c r="J134" s="144">
        <f>ROUND(I134*H134,2)</f>
        <v>224031.74</v>
      </c>
      <c r="K134" s="140" t="s">
        <v>190</v>
      </c>
      <c r="L134" s="33"/>
      <c r="M134" s="145" t="s">
        <v>1</v>
      </c>
      <c r="N134" s="146" t="s">
        <v>47</v>
      </c>
      <c r="O134" s="147">
        <v>0.10299999999999999</v>
      </c>
      <c r="P134" s="147">
        <f>O134*H134</f>
        <v>164.6352</v>
      </c>
      <c r="Q134" s="147">
        <v>6.2E-4</v>
      </c>
      <c r="R134" s="147">
        <f>Q134*H134</f>
        <v>0.99100800000000011</v>
      </c>
      <c r="S134" s="147">
        <v>0</v>
      </c>
      <c r="T134" s="148">
        <f>S134*H134</f>
        <v>0</v>
      </c>
      <c r="AR134" s="149" t="s">
        <v>191</v>
      </c>
      <c r="AT134" s="149" t="s">
        <v>186</v>
      </c>
      <c r="AU134" s="149" t="s">
        <v>20</v>
      </c>
      <c r="AY134" s="18" t="s">
        <v>184</v>
      </c>
      <c r="BE134" s="150">
        <f>IF(N134="základní",J134,0)</f>
        <v>224031.74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8" t="s">
        <v>88</v>
      </c>
      <c r="BK134" s="150">
        <f>ROUND(I134*H134,2)</f>
        <v>224031.74</v>
      </c>
      <c r="BL134" s="18" t="s">
        <v>191</v>
      </c>
      <c r="BM134" s="149" t="s">
        <v>1871</v>
      </c>
    </row>
    <row r="135" spans="2:65" s="1" customFormat="1" x14ac:dyDescent="0.3">
      <c r="B135" s="33"/>
      <c r="D135" s="151" t="s">
        <v>193</v>
      </c>
      <c r="F135" s="152" t="s">
        <v>799</v>
      </c>
      <c r="I135" s="153"/>
      <c r="L135" s="33"/>
      <c r="M135" s="154"/>
      <c r="T135" s="57"/>
      <c r="AT135" s="18" t="s">
        <v>193</v>
      </c>
      <c r="AU135" s="18" t="s">
        <v>20</v>
      </c>
    </row>
    <row r="136" spans="2:65" s="1" customFormat="1" ht="37.9" customHeight="1" x14ac:dyDescent="0.3">
      <c r="B136" s="33"/>
      <c r="C136" s="138" t="s">
        <v>264</v>
      </c>
      <c r="D136" s="138" t="s">
        <v>186</v>
      </c>
      <c r="E136" s="139" t="s">
        <v>232</v>
      </c>
      <c r="F136" s="140" t="s">
        <v>1464</v>
      </c>
      <c r="G136" s="141" t="s">
        <v>217</v>
      </c>
      <c r="H136" s="142">
        <v>937.48</v>
      </c>
      <c r="I136" s="143">
        <v>103.82</v>
      </c>
      <c r="J136" s="144">
        <f>ROUND(I136*H136,2)</f>
        <v>97329.17</v>
      </c>
      <c r="K136" s="140" t="s">
        <v>190</v>
      </c>
      <c r="L136" s="33"/>
      <c r="M136" s="145" t="s">
        <v>1</v>
      </c>
      <c r="N136" s="146" t="s">
        <v>47</v>
      </c>
      <c r="O136" s="147">
        <v>8.6999999999999994E-2</v>
      </c>
      <c r="P136" s="147">
        <f>O136*H136</f>
        <v>81.560760000000002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AR136" s="149" t="s">
        <v>191</v>
      </c>
      <c r="AT136" s="149" t="s">
        <v>186</v>
      </c>
      <c r="AU136" s="149" t="s">
        <v>20</v>
      </c>
      <c r="AY136" s="18" t="s">
        <v>184</v>
      </c>
      <c r="BE136" s="150">
        <f>IF(N136="základní",J136,0)</f>
        <v>97329.17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8" t="s">
        <v>88</v>
      </c>
      <c r="BK136" s="150">
        <f>ROUND(I136*H136,2)</f>
        <v>97329.17</v>
      </c>
      <c r="BL136" s="18" t="s">
        <v>191</v>
      </c>
      <c r="BM136" s="149" t="s">
        <v>1872</v>
      </c>
    </row>
    <row r="137" spans="2:65" s="1" customFormat="1" x14ac:dyDescent="0.3">
      <c r="B137" s="33"/>
      <c r="D137" s="151" t="s">
        <v>193</v>
      </c>
      <c r="F137" s="152" t="s">
        <v>235</v>
      </c>
      <c r="I137" s="153"/>
      <c r="L137" s="33"/>
      <c r="M137" s="154"/>
      <c r="T137" s="57"/>
      <c r="AT137" s="18" t="s">
        <v>193</v>
      </c>
      <c r="AU137" s="18" t="s">
        <v>20</v>
      </c>
    </row>
    <row r="138" spans="2:65" s="12" customFormat="1" ht="11.25" x14ac:dyDescent="0.3">
      <c r="B138" s="155"/>
      <c r="D138" s="156" t="s">
        <v>195</v>
      </c>
      <c r="E138" s="157" t="s">
        <v>1</v>
      </c>
      <c r="F138" s="158" t="s">
        <v>1873</v>
      </c>
      <c r="H138" s="159">
        <v>937.48</v>
      </c>
      <c r="I138" s="160"/>
      <c r="L138" s="155"/>
      <c r="M138" s="161"/>
      <c r="T138" s="162"/>
      <c r="AT138" s="157" t="s">
        <v>195</v>
      </c>
      <c r="AU138" s="157" t="s">
        <v>20</v>
      </c>
      <c r="AV138" s="12" t="s">
        <v>20</v>
      </c>
      <c r="AW138" s="12" t="s">
        <v>37</v>
      </c>
      <c r="AX138" s="12" t="s">
        <v>88</v>
      </c>
      <c r="AY138" s="157" t="s">
        <v>184</v>
      </c>
    </row>
    <row r="139" spans="2:65" s="1" customFormat="1" ht="37.9" customHeight="1" x14ac:dyDescent="0.3">
      <c r="B139" s="33"/>
      <c r="C139" s="138" t="s">
        <v>270</v>
      </c>
      <c r="D139" s="138" t="s">
        <v>186</v>
      </c>
      <c r="E139" s="139" t="s">
        <v>240</v>
      </c>
      <c r="F139" s="140" t="s">
        <v>1467</v>
      </c>
      <c r="G139" s="141" t="s">
        <v>217</v>
      </c>
      <c r="H139" s="142">
        <v>15937.16</v>
      </c>
      <c r="I139" s="143">
        <v>7.13</v>
      </c>
      <c r="J139" s="144">
        <f>ROUND(I139*H139,2)</f>
        <v>113631.95</v>
      </c>
      <c r="K139" s="140" t="s">
        <v>190</v>
      </c>
      <c r="L139" s="33"/>
      <c r="M139" s="145" t="s">
        <v>1</v>
      </c>
      <c r="N139" s="146" t="s">
        <v>47</v>
      </c>
      <c r="O139" s="147">
        <v>5.0000000000000001E-3</v>
      </c>
      <c r="P139" s="147">
        <f>O139*H139</f>
        <v>79.6858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AR139" s="149" t="s">
        <v>191</v>
      </c>
      <c r="AT139" s="149" t="s">
        <v>186</v>
      </c>
      <c r="AU139" s="149" t="s">
        <v>20</v>
      </c>
      <c r="AY139" s="18" t="s">
        <v>184</v>
      </c>
      <c r="BE139" s="150">
        <f>IF(N139="základní",J139,0)</f>
        <v>113631.95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8" t="s">
        <v>88</v>
      </c>
      <c r="BK139" s="150">
        <f>ROUND(I139*H139,2)</f>
        <v>113631.95</v>
      </c>
      <c r="BL139" s="18" t="s">
        <v>191</v>
      </c>
      <c r="BM139" s="149" t="s">
        <v>1874</v>
      </c>
    </row>
    <row r="140" spans="2:65" s="1" customFormat="1" x14ac:dyDescent="0.3">
      <c r="B140" s="33"/>
      <c r="D140" s="151" t="s">
        <v>193</v>
      </c>
      <c r="F140" s="152" t="s">
        <v>243</v>
      </c>
      <c r="I140" s="153"/>
      <c r="L140" s="33"/>
      <c r="M140" s="154"/>
      <c r="T140" s="57"/>
      <c r="AT140" s="18" t="s">
        <v>193</v>
      </c>
      <c r="AU140" s="18" t="s">
        <v>20</v>
      </c>
    </row>
    <row r="141" spans="2:65" s="1" customFormat="1" ht="19.5" x14ac:dyDescent="0.3">
      <c r="B141" s="33"/>
      <c r="D141" s="156" t="s">
        <v>236</v>
      </c>
      <c r="F141" s="170" t="s">
        <v>1875</v>
      </c>
      <c r="I141" s="153"/>
      <c r="L141" s="33"/>
      <c r="M141" s="154"/>
      <c r="T141" s="57"/>
      <c r="AT141" s="18" t="s">
        <v>236</v>
      </c>
      <c r="AU141" s="18" t="s">
        <v>20</v>
      </c>
    </row>
    <row r="142" spans="2:65" s="12" customFormat="1" ht="11.25" x14ac:dyDescent="0.3">
      <c r="B142" s="155"/>
      <c r="D142" s="156" t="s">
        <v>195</v>
      </c>
      <c r="E142" s="157" t="s">
        <v>1</v>
      </c>
      <c r="F142" s="158" t="s">
        <v>1876</v>
      </c>
      <c r="H142" s="159">
        <v>15937.16</v>
      </c>
      <c r="I142" s="160"/>
      <c r="L142" s="155"/>
      <c r="M142" s="161"/>
      <c r="T142" s="162"/>
      <c r="AT142" s="157" t="s">
        <v>195</v>
      </c>
      <c r="AU142" s="157" t="s">
        <v>20</v>
      </c>
      <c r="AV142" s="12" t="s">
        <v>20</v>
      </c>
      <c r="AW142" s="12" t="s">
        <v>37</v>
      </c>
      <c r="AX142" s="12" t="s">
        <v>88</v>
      </c>
      <c r="AY142" s="157" t="s">
        <v>184</v>
      </c>
    </row>
    <row r="143" spans="2:65" s="1" customFormat="1" ht="24.2" customHeight="1" x14ac:dyDescent="0.3">
      <c r="B143" s="33"/>
      <c r="C143" s="138" t="s">
        <v>276</v>
      </c>
      <c r="D143" s="138" t="s">
        <v>186</v>
      </c>
      <c r="E143" s="139" t="s">
        <v>246</v>
      </c>
      <c r="F143" s="140" t="s">
        <v>1470</v>
      </c>
      <c r="G143" s="141" t="s">
        <v>248</v>
      </c>
      <c r="H143" s="142">
        <v>1874.96</v>
      </c>
      <c r="I143" s="143">
        <v>256.7</v>
      </c>
      <c r="J143" s="144">
        <f>ROUND(I143*H143,2)</f>
        <v>481302.23</v>
      </c>
      <c r="K143" s="140" t="s">
        <v>190</v>
      </c>
      <c r="L143" s="33"/>
      <c r="M143" s="145" t="s">
        <v>1</v>
      </c>
      <c r="N143" s="146" t="s">
        <v>47</v>
      </c>
      <c r="O143" s="147">
        <v>0</v>
      </c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AR143" s="149" t="s">
        <v>191</v>
      </c>
      <c r="AT143" s="149" t="s">
        <v>186</v>
      </c>
      <c r="AU143" s="149" t="s">
        <v>20</v>
      </c>
      <c r="AY143" s="18" t="s">
        <v>184</v>
      </c>
      <c r="BE143" s="150">
        <f>IF(N143="základní",J143,0)</f>
        <v>481302.23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8" t="s">
        <v>88</v>
      </c>
      <c r="BK143" s="150">
        <f>ROUND(I143*H143,2)</f>
        <v>481302.23</v>
      </c>
      <c r="BL143" s="18" t="s">
        <v>191</v>
      </c>
      <c r="BM143" s="149" t="s">
        <v>1877</v>
      </c>
    </row>
    <row r="144" spans="2:65" s="1" customFormat="1" x14ac:dyDescent="0.3">
      <c r="B144" s="33"/>
      <c r="D144" s="151" t="s">
        <v>193</v>
      </c>
      <c r="F144" s="152" t="s">
        <v>250</v>
      </c>
      <c r="I144" s="153"/>
      <c r="L144" s="33"/>
      <c r="M144" s="154"/>
      <c r="T144" s="57"/>
      <c r="AT144" s="18" t="s">
        <v>193</v>
      </c>
      <c r="AU144" s="18" t="s">
        <v>20</v>
      </c>
    </row>
    <row r="145" spans="2:65" s="12" customFormat="1" ht="11.25" x14ac:dyDescent="0.3">
      <c r="B145" s="155"/>
      <c r="D145" s="156" t="s">
        <v>195</v>
      </c>
      <c r="E145" s="157" t="s">
        <v>1</v>
      </c>
      <c r="F145" s="158" t="s">
        <v>1878</v>
      </c>
      <c r="H145" s="159">
        <v>1874.96</v>
      </c>
      <c r="I145" s="160"/>
      <c r="L145" s="155"/>
      <c r="M145" s="161"/>
      <c r="T145" s="162"/>
      <c r="AT145" s="157" t="s">
        <v>195</v>
      </c>
      <c r="AU145" s="157" t="s">
        <v>20</v>
      </c>
      <c r="AV145" s="12" t="s">
        <v>20</v>
      </c>
      <c r="AW145" s="12" t="s">
        <v>37</v>
      </c>
      <c r="AX145" s="12" t="s">
        <v>88</v>
      </c>
      <c r="AY145" s="157" t="s">
        <v>184</v>
      </c>
    </row>
    <row r="146" spans="2:65" s="1" customFormat="1" ht="33" customHeight="1" x14ac:dyDescent="0.3">
      <c r="B146" s="33"/>
      <c r="C146" s="138" t="s">
        <v>7</v>
      </c>
      <c r="D146" s="138" t="s">
        <v>186</v>
      </c>
      <c r="E146" s="139" t="s">
        <v>809</v>
      </c>
      <c r="F146" s="140" t="s">
        <v>1879</v>
      </c>
      <c r="G146" s="141" t="s">
        <v>217</v>
      </c>
      <c r="H146" s="142">
        <v>565.851</v>
      </c>
      <c r="I146" s="143">
        <v>229.08</v>
      </c>
      <c r="J146" s="144">
        <f>ROUND(I146*H146,2)</f>
        <v>129625.15</v>
      </c>
      <c r="K146" s="140" t="s">
        <v>190</v>
      </c>
      <c r="L146" s="33"/>
      <c r="M146" s="145" t="s">
        <v>1</v>
      </c>
      <c r="N146" s="146" t="s">
        <v>47</v>
      </c>
      <c r="O146" s="147">
        <v>0.44400000000000001</v>
      </c>
      <c r="P146" s="147">
        <f>O146*H146</f>
        <v>251.237844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191</v>
      </c>
      <c r="AT146" s="149" t="s">
        <v>186</v>
      </c>
      <c r="AU146" s="149" t="s">
        <v>20</v>
      </c>
      <c r="AY146" s="18" t="s">
        <v>184</v>
      </c>
      <c r="BE146" s="150">
        <f>IF(N146="základní",J146,0)</f>
        <v>129625.15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8" t="s">
        <v>88</v>
      </c>
      <c r="BK146" s="150">
        <f>ROUND(I146*H146,2)</f>
        <v>129625.15</v>
      </c>
      <c r="BL146" s="18" t="s">
        <v>191</v>
      </c>
      <c r="BM146" s="149" t="s">
        <v>1880</v>
      </c>
    </row>
    <row r="147" spans="2:65" s="1" customFormat="1" x14ac:dyDescent="0.3">
      <c r="B147" s="33"/>
      <c r="D147" s="151" t="s">
        <v>193</v>
      </c>
      <c r="F147" s="152" t="s">
        <v>1881</v>
      </c>
      <c r="I147" s="153"/>
      <c r="L147" s="33"/>
      <c r="M147" s="154"/>
      <c r="T147" s="57"/>
      <c r="AT147" s="18" t="s">
        <v>193</v>
      </c>
      <c r="AU147" s="18" t="s">
        <v>20</v>
      </c>
    </row>
    <row r="148" spans="2:65" s="12" customFormat="1" ht="11.25" x14ac:dyDescent="0.3">
      <c r="B148" s="155"/>
      <c r="D148" s="156" t="s">
        <v>195</v>
      </c>
      <c r="E148" s="157" t="s">
        <v>1</v>
      </c>
      <c r="F148" s="158" t="s">
        <v>1882</v>
      </c>
      <c r="H148" s="159">
        <v>898.33</v>
      </c>
      <c r="I148" s="160"/>
      <c r="L148" s="155"/>
      <c r="M148" s="161"/>
      <c r="T148" s="162"/>
      <c r="AT148" s="157" t="s">
        <v>195</v>
      </c>
      <c r="AU148" s="157" t="s">
        <v>20</v>
      </c>
      <c r="AV148" s="12" t="s">
        <v>20</v>
      </c>
      <c r="AW148" s="12" t="s">
        <v>37</v>
      </c>
      <c r="AX148" s="12" t="s">
        <v>81</v>
      </c>
      <c r="AY148" s="157" t="s">
        <v>184</v>
      </c>
    </row>
    <row r="149" spans="2:65" s="12" customFormat="1" ht="11.25" x14ac:dyDescent="0.3">
      <c r="B149" s="155"/>
      <c r="D149" s="156" t="s">
        <v>195</v>
      </c>
      <c r="E149" s="157" t="s">
        <v>1</v>
      </c>
      <c r="F149" s="158" t="s">
        <v>1883</v>
      </c>
      <c r="H149" s="159">
        <v>-225.02</v>
      </c>
      <c r="I149" s="160"/>
      <c r="L149" s="155"/>
      <c r="M149" s="161"/>
      <c r="T149" s="162"/>
      <c r="AT149" s="157" t="s">
        <v>195</v>
      </c>
      <c r="AU149" s="157" t="s">
        <v>20</v>
      </c>
      <c r="AV149" s="12" t="s">
        <v>20</v>
      </c>
      <c r="AW149" s="12" t="s">
        <v>37</v>
      </c>
      <c r="AX149" s="12" t="s">
        <v>81</v>
      </c>
      <c r="AY149" s="157" t="s">
        <v>184</v>
      </c>
    </row>
    <row r="150" spans="2:65" s="12" customFormat="1" ht="11.25" x14ac:dyDescent="0.3">
      <c r="B150" s="155"/>
      <c r="D150" s="156" t="s">
        <v>195</v>
      </c>
      <c r="E150" s="157" t="s">
        <v>1</v>
      </c>
      <c r="F150" s="158" t="s">
        <v>1884</v>
      </c>
      <c r="H150" s="159">
        <v>-59.173000000000002</v>
      </c>
      <c r="I150" s="160"/>
      <c r="L150" s="155"/>
      <c r="M150" s="161"/>
      <c r="T150" s="162"/>
      <c r="AT150" s="157" t="s">
        <v>195</v>
      </c>
      <c r="AU150" s="157" t="s">
        <v>20</v>
      </c>
      <c r="AV150" s="12" t="s">
        <v>20</v>
      </c>
      <c r="AW150" s="12" t="s">
        <v>37</v>
      </c>
      <c r="AX150" s="12" t="s">
        <v>81</v>
      </c>
      <c r="AY150" s="157" t="s">
        <v>184</v>
      </c>
    </row>
    <row r="151" spans="2:65" s="15" customFormat="1" ht="11.25" x14ac:dyDescent="0.3">
      <c r="B151" s="198"/>
      <c r="D151" s="156" t="s">
        <v>195</v>
      </c>
      <c r="E151" s="199" t="s">
        <v>1</v>
      </c>
      <c r="F151" s="200" t="s">
        <v>815</v>
      </c>
      <c r="H151" s="201">
        <v>614.13700000000006</v>
      </c>
      <c r="I151" s="202"/>
      <c r="L151" s="198"/>
      <c r="M151" s="203"/>
      <c r="T151" s="204"/>
      <c r="AT151" s="199" t="s">
        <v>195</v>
      </c>
      <c r="AU151" s="199" t="s">
        <v>20</v>
      </c>
      <c r="AV151" s="15" t="s">
        <v>202</v>
      </c>
      <c r="AW151" s="15" t="s">
        <v>37</v>
      </c>
      <c r="AX151" s="15" t="s">
        <v>81</v>
      </c>
      <c r="AY151" s="199" t="s">
        <v>184</v>
      </c>
    </row>
    <row r="152" spans="2:65" s="12" customFormat="1" ht="11.25" x14ac:dyDescent="0.3">
      <c r="B152" s="155"/>
      <c r="D152" s="156" t="s">
        <v>195</v>
      </c>
      <c r="E152" s="157" t="s">
        <v>1</v>
      </c>
      <c r="F152" s="158" t="s">
        <v>1885</v>
      </c>
      <c r="H152" s="159">
        <v>39.151000000000003</v>
      </c>
      <c r="I152" s="160"/>
      <c r="L152" s="155"/>
      <c r="M152" s="161"/>
      <c r="T152" s="162"/>
      <c r="AT152" s="157" t="s">
        <v>195</v>
      </c>
      <c r="AU152" s="157" t="s">
        <v>20</v>
      </c>
      <c r="AV152" s="12" t="s">
        <v>20</v>
      </c>
      <c r="AW152" s="12" t="s">
        <v>37</v>
      </c>
      <c r="AX152" s="12" t="s">
        <v>81</v>
      </c>
      <c r="AY152" s="157" t="s">
        <v>184</v>
      </c>
    </row>
    <row r="153" spans="2:65" s="12" customFormat="1" ht="11.25" x14ac:dyDescent="0.3">
      <c r="B153" s="155"/>
      <c r="D153" s="156" t="s">
        <v>195</v>
      </c>
      <c r="E153" s="157" t="s">
        <v>1</v>
      </c>
      <c r="F153" s="158" t="s">
        <v>1886</v>
      </c>
      <c r="H153" s="159">
        <v>-1.68</v>
      </c>
      <c r="I153" s="160"/>
      <c r="L153" s="155"/>
      <c r="M153" s="161"/>
      <c r="T153" s="162"/>
      <c r="AT153" s="157" t="s">
        <v>195</v>
      </c>
      <c r="AU153" s="157" t="s">
        <v>20</v>
      </c>
      <c r="AV153" s="12" t="s">
        <v>20</v>
      </c>
      <c r="AW153" s="12" t="s">
        <v>37</v>
      </c>
      <c r="AX153" s="12" t="s">
        <v>81</v>
      </c>
      <c r="AY153" s="157" t="s">
        <v>184</v>
      </c>
    </row>
    <row r="154" spans="2:65" s="12" customFormat="1" ht="11.25" x14ac:dyDescent="0.3">
      <c r="B154" s="155"/>
      <c r="D154" s="156" t="s">
        <v>195</v>
      </c>
      <c r="E154" s="157" t="s">
        <v>1</v>
      </c>
      <c r="F154" s="158" t="s">
        <v>1887</v>
      </c>
      <c r="H154" s="159">
        <v>-85.757000000000005</v>
      </c>
      <c r="I154" s="160"/>
      <c r="L154" s="155"/>
      <c r="M154" s="161"/>
      <c r="T154" s="162"/>
      <c r="AT154" s="157" t="s">
        <v>195</v>
      </c>
      <c r="AU154" s="157" t="s">
        <v>20</v>
      </c>
      <c r="AV154" s="12" t="s">
        <v>20</v>
      </c>
      <c r="AW154" s="12" t="s">
        <v>37</v>
      </c>
      <c r="AX154" s="12" t="s">
        <v>81</v>
      </c>
      <c r="AY154" s="157" t="s">
        <v>184</v>
      </c>
    </row>
    <row r="155" spans="2:65" s="15" customFormat="1" ht="11.25" x14ac:dyDescent="0.3">
      <c r="B155" s="198"/>
      <c r="D155" s="156" t="s">
        <v>195</v>
      </c>
      <c r="E155" s="199" t="s">
        <v>1</v>
      </c>
      <c r="F155" s="200" t="s">
        <v>815</v>
      </c>
      <c r="H155" s="201">
        <v>-48.286000000000001</v>
      </c>
      <c r="I155" s="202"/>
      <c r="L155" s="198"/>
      <c r="M155" s="203"/>
      <c r="T155" s="204"/>
      <c r="AT155" s="199" t="s">
        <v>195</v>
      </c>
      <c r="AU155" s="199" t="s">
        <v>20</v>
      </c>
      <c r="AV155" s="15" t="s">
        <v>202</v>
      </c>
      <c r="AW155" s="15" t="s">
        <v>37</v>
      </c>
      <c r="AX155" s="15" t="s">
        <v>81</v>
      </c>
      <c r="AY155" s="199" t="s">
        <v>184</v>
      </c>
    </row>
    <row r="156" spans="2:65" s="13" customFormat="1" ht="11.25" x14ac:dyDescent="0.3">
      <c r="B156" s="163"/>
      <c r="D156" s="156" t="s">
        <v>195</v>
      </c>
      <c r="E156" s="164" t="s">
        <v>1</v>
      </c>
      <c r="F156" s="165" t="s">
        <v>230</v>
      </c>
      <c r="H156" s="166">
        <v>565.85100000000011</v>
      </c>
      <c r="I156" s="167"/>
      <c r="L156" s="163"/>
      <c r="M156" s="168"/>
      <c r="T156" s="169"/>
      <c r="AT156" s="164" t="s">
        <v>195</v>
      </c>
      <c r="AU156" s="164" t="s">
        <v>20</v>
      </c>
      <c r="AV156" s="13" t="s">
        <v>191</v>
      </c>
      <c r="AW156" s="13" t="s">
        <v>37</v>
      </c>
      <c r="AX156" s="13" t="s">
        <v>88</v>
      </c>
      <c r="AY156" s="164" t="s">
        <v>184</v>
      </c>
    </row>
    <row r="157" spans="2:65" s="1" customFormat="1" ht="37.9" customHeight="1" x14ac:dyDescent="0.3">
      <c r="B157" s="33"/>
      <c r="C157" s="138" t="s">
        <v>287</v>
      </c>
      <c r="D157" s="138" t="s">
        <v>186</v>
      </c>
      <c r="E157" s="139" t="s">
        <v>823</v>
      </c>
      <c r="F157" s="140" t="s">
        <v>1888</v>
      </c>
      <c r="G157" s="141" t="s">
        <v>217</v>
      </c>
      <c r="H157" s="142">
        <v>167.018</v>
      </c>
      <c r="I157" s="143">
        <v>496.33</v>
      </c>
      <c r="J157" s="144">
        <f>ROUND(I157*H157,2)</f>
        <v>82896.039999999994</v>
      </c>
      <c r="K157" s="140" t="s">
        <v>190</v>
      </c>
      <c r="L157" s="33"/>
      <c r="M157" s="145" t="s">
        <v>1</v>
      </c>
      <c r="N157" s="146" t="s">
        <v>47</v>
      </c>
      <c r="O157" s="147">
        <v>0.435</v>
      </c>
      <c r="P157" s="147">
        <f>O157*H157</f>
        <v>72.652829999999994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AR157" s="149" t="s">
        <v>191</v>
      </c>
      <c r="AT157" s="149" t="s">
        <v>186</v>
      </c>
      <c r="AU157" s="149" t="s">
        <v>20</v>
      </c>
      <c r="AY157" s="18" t="s">
        <v>184</v>
      </c>
      <c r="BE157" s="150">
        <f>IF(N157="základní",J157,0)</f>
        <v>82896.039999999994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8" t="s">
        <v>88</v>
      </c>
      <c r="BK157" s="150">
        <f>ROUND(I157*H157,2)</f>
        <v>82896.039999999994</v>
      </c>
      <c r="BL157" s="18" t="s">
        <v>191</v>
      </c>
      <c r="BM157" s="149" t="s">
        <v>1889</v>
      </c>
    </row>
    <row r="158" spans="2:65" s="1" customFormat="1" x14ac:dyDescent="0.3">
      <c r="B158" s="33"/>
      <c r="D158" s="151" t="s">
        <v>193</v>
      </c>
      <c r="F158" s="152" t="s">
        <v>1890</v>
      </c>
      <c r="I158" s="153"/>
      <c r="L158" s="33"/>
      <c r="M158" s="154"/>
      <c r="T158" s="57"/>
      <c r="AT158" s="18" t="s">
        <v>193</v>
      </c>
      <c r="AU158" s="18" t="s">
        <v>20</v>
      </c>
    </row>
    <row r="159" spans="2:65" s="12" customFormat="1" ht="11.25" x14ac:dyDescent="0.3">
      <c r="B159" s="155"/>
      <c r="D159" s="156" t="s">
        <v>195</v>
      </c>
      <c r="E159" s="157" t="s">
        <v>1</v>
      </c>
      <c r="F159" s="158" t="s">
        <v>1891</v>
      </c>
      <c r="H159" s="159">
        <v>27.553999999999998</v>
      </c>
      <c r="I159" s="160"/>
      <c r="L159" s="155"/>
      <c r="M159" s="161"/>
      <c r="T159" s="162"/>
      <c r="AT159" s="157" t="s">
        <v>195</v>
      </c>
      <c r="AU159" s="157" t="s">
        <v>20</v>
      </c>
      <c r="AV159" s="12" t="s">
        <v>20</v>
      </c>
      <c r="AW159" s="12" t="s">
        <v>37</v>
      </c>
      <c r="AX159" s="12" t="s">
        <v>81</v>
      </c>
      <c r="AY159" s="157" t="s">
        <v>184</v>
      </c>
    </row>
    <row r="160" spans="2:65" s="12" customFormat="1" ht="11.25" x14ac:dyDescent="0.3">
      <c r="B160" s="155"/>
      <c r="D160" s="156" t="s">
        <v>195</v>
      </c>
      <c r="E160" s="157" t="s">
        <v>1</v>
      </c>
      <c r="F160" s="158" t="s">
        <v>1892</v>
      </c>
      <c r="H160" s="159">
        <v>139.464</v>
      </c>
      <c r="I160" s="160"/>
      <c r="L160" s="155"/>
      <c r="M160" s="161"/>
      <c r="T160" s="162"/>
      <c r="AT160" s="157" t="s">
        <v>195</v>
      </c>
      <c r="AU160" s="157" t="s">
        <v>20</v>
      </c>
      <c r="AV160" s="12" t="s">
        <v>20</v>
      </c>
      <c r="AW160" s="12" t="s">
        <v>37</v>
      </c>
      <c r="AX160" s="12" t="s">
        <v>81</v>
      </c>
      <c r="AY160" s="157" t="s">
        <v>184</v>
      </c>
    </row>
    <row r="161" spans="2:65" s="13" customFormat="1" ht="11.25" x14ac:dyDescent="0.3">
      <c r="B161" s="163"/>
      <c r="D161" s="156" t="s">
        <v>195</v>
      </c>
      <c r="E161" s="164" t="s">
        <v>1</v>
      </c>
      <c r="F161" s="165" t="s">
        <v>230</v>
      </c>
      <c r="H161" s="166">
        <v>167.018</v>
      </c>
      <c r="I161" s="167"/>
      <c r="L161" s="163"/>
      <c r="M161" s="168"/>
      <c r="T161" s="169"/>
      <c r="AT161" s="164" t="s">
        <v>195</v>
      </c>
      <c r="AU161" s="164" t="s">
        <v>20</v>
      </c>
      <c r="AV161" s="13" t="s">
        <v>191</v>
      </c>
      <c r="AW161" s="13" t="s">
        <v>37</v>
      </c>
      <c r="AX161" s="13" t="s">
        <v>88</v>
      </c>
      <c r="AY161" s="164" t="s">
        <v>184</v>
      </c>
    </row>
    <row r="162" spans="2:65" s="1" customFormat="1" ht="16.5" customHeight="1" x14ac:dyDescent="0.3">
      <c r="B162" s="33"/>
      <c r="C162" s="172" t="s">
        <v>293</v>
      </c>
      <c r="D162" s="172" t="s">
        <v>271</v>
      </c>
      <c r="E162" s="173" t="s">
        <v>829</v>
      </c>
      <c r="F162" s="174" t="s">
        <v>830</v>
      </c>
      <c r="G162" s="175" t="s">
        <v>248</v>
      </c>
      <c r="H162" s="176">
        <v>300.63200000000001</v>
      </c>
      <c r="I162" s="177">
        <v>398.07</v>
      </c>
      <c r="J162" s="178">
        <f>ROUND(I162*H162,2)</f>
        <v>119672.58</v>
      </c>
      <c r="K162" s="174" t="s">
        <v>190</v>
      </c>
      <c r="L162" s="179"/>
      <c r="M162" s="180" t="s">
        <v>1</v>
      </c>
      <c r="N162" s="181" t="s">
        <v>47</v>
      </c>
      <c r="O162" s="147">
        <v>0</v>
      </c>
      <c r="P162" s="147">
        <f>O162*H162</f>
        <v>0</v>
      </c>
      <c r="Q162" s="147">
        <v>1</v>
      </c>
      <c r="R162" s="147">
        <f>Q162*H162</f>
        <v>300.63200000000001</v>
      </c>
      <c r="S162" s="147">
        <v>0</v>
      </c>
      <c r="T162" s="148">
        <f>S162*H162</f>
        <v>0</v>
      </c>
      <c r="AR162" s="149" t="s">
        <v>239</v>
      </c>
      <c r="AT162" s="149" t="s">
        <v>271</v>
      </c>
      <c r="AU162" s="149" t="s">
        <v>20</v>
      </c>
      <c r="AY162" s="18" t="s">
        <v>184</v>
      </c>
      <c r="BE162" s="150">
        <f>IF(N162="základní",J162,0)</f>
        <v>119672.58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8" t="s">
        <v>88</v>
      </c>
      <c r="BK162" s="150">
        <f>ROUND(I162*H162,2)</f>
        <v>119672.58</v>
      </c>
      <c r="BL162" s="18" t="s">
        <v>191</v>
      </c>
      <c r="BM162" s="149" t="s">
        <v>1893</v>
      </c>
    </row>
    <row r="163" spans="2:65" s="12" customFormat="1" ht="11.25" x14ac:dyDescent="0.3">
      <c r="B163" s="155"/>
      <c r="D163" s="156" t="s">
        <v>195</v>
      </c>
      <c r="E163" s="157" t="s">
        <v>1</v>
      </c>
      <c r="F163" s="158" t="s">
        <v>1894</v>
      </c>
      <c r="H163" s="159">
        <v>300.63200000000001</v>
      </c>
      <c r="I163" s="160"/>
      <c r="L163" s="155"/>
      <c r="M163" s="161"/>
      <c r="T163" s="162"/>
      <c r="AT163" s="157" t="s">
        <v>195</v>
      </c>
      <c r="AU163" s="157" t="s">
        <v>20</v>
      </c>
      <c r="AV163" s="12" t="s">
        <v>20</v>
      </c>
      <c r="AW163" s="12" t="s">
        <v>37</v>
      </c>
      <c r="AX163" s="12" t="s">
        <v>88</v>
      </c>
      <c r="AY163" s="157" t="s">
        <v>184</v>
      </c>
    </row>
    <row r="164" spans="2:65" s="11" customFormat="1" ht="22.9" customHeight="1" x14ac:dyDescent="0.2">
      <c r="B164" s="127"/>
      <c r="D164" s="128" t="s">
        <v>80</v>
      </c>
      <c r="E164" s="136" t="s">
        <v>191</v>
      </c>
      <c r="F164" s="136" t="s">
        <v>833</v>
      </c>
      <c r="I164" s="171"/>
      <c r="J164" s="137">
        <f>BK164</f>
        <v>111433.30000000002</v>
      </c>
      <c r="L164" s="127"/>
      <c r="M164" s="131"/>
      <c r="P164" s="132">
        <f>SUM(P165:P180)</f>
        <v>108.05781</v>
      </c>
      <c r="R164" s="132">
        <f>SUM(R165:R180)</f>
        <v>120.27353597</v>
      </c>
      <c r="T164" s="133">
        <f>SUM(T165:T180)</f>
        <v>0</v>
      </c>
      <c r="AR164" s="128" t="s">
        <v>88</v>
      </c>
      <c r="AT164" s="134" t="s">
        <v>80</v>
      </c>
      <c r="AU164" s="134" t="s">
        <v>88</v>
      </c>
      <c r="AY164" s="128" t="s">
        <v>184</v>
      </c>
      <c r="BK164" s="135">
        <f>SUM(BK165:BK180)</f>
        <v>111433.30000000002</v>
      </c>
    </row>
    <row r="165" spans="2:65" s="1" customFormat="1" ht="21.75" customHeight="1" x14ac:dyDescent="0.3">
      <c r="B165" s="33"/>
      <c r="C165" s="138" t="s">
        <v>299</v>
      </c>
      <c r="D165" s="138" t="s">
        <v>186</v>
      </c>
      <c r="E165" s="139" t="s">
        <v>834</v>
      </c>
      <c r="F165" s="140" t="s">
        <v>1895</v>
      </c>
      <c r="G165" s="141" t="s">
        <v>217</v>
      </c>
      <c r="H165" s="142">
        <v>58.009</v>
      </c>
      <c r="I165" s="143">
        <v>1366.85</v>
      </c>
      <c r="J165" s="144">
        <f>ROUND(I165*H165,2)</f>
        <v>79289.600000000006</v>
      </c>
      <c r="K165" s="140" t="s">
        <v>190</v>
      </c>
      <c r="L165" s="33"/>
      <c r="M165" s="145" t="s">
        <v>1</v>
      </c>
      <c r="N165" s="146" t="s">
        <v>47</v>
      </c>
      <c r="O165" s="147">
        <v>1.6950000000000001</v>
      </c>
      <c r="P165" s="147">
        <f>O165*H165</f>
        <v>98.325254999999999</v>
      </c>
      <c r="Q165" s="147">
        <v>1.8907700000000001</v>
      </c>
      <c r="R165" s="147">
        <f>Q165*H165</f>
        <v>109.68167693000001</v>
      </c>
      <c r="S165" s="147">
        <v>0</v>
      </c>
      <c r="T165" s="148">
        <f>S165*H165</f>
        <v>0</v>
      </c>
      <c r="AR165" s="149" t="s">
        <v>191</v>
      </c>
      <c r="AT165" s="149" t="s">
        <v>186</v>
      </c>
      <c r="AU165" s="149" t="s">
        <v>20</v>
      </c>
      <c r="AY165" s="18" t="s">
        <v>184</v>
      </c>
      <c r="BE165" s="150">
        <f>IF(N165="základní",J165,0)</f>
        <v>79289.600000000006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8" t="s">
        <v>88</v>
      </c>
      <c r="BK165" s="150">
        <f>ROUND(I165*H165,2)</f>
        <v>79289.600000000006</v>
      </c>
      <c r="BL165" s="18" t="s">
        <v>191</v>
      </c>
      <c r="BM165" s="149" t="s">
        <v>1896</v>
      </c>
    </row>
    <row r="166" spans="2:65" s="1" customFormat="1" x14ac:dyDescent="0.3">
      <c r="B166" s="33"/>
      <c r="D166" s="151" t="s">
        <v>193</v>
      </c>
      <c r="F166" s="152" t="s">
        <v>1897</v>
      </c>
      <c r="I166" s="153"/>
      <c r="L166" s="33"/>
      <c r="M166" s="154"/>
      <c r="T166" s="57"/>
      <c r="AT166" s="18" t="s">
        <v>193</v>
      </c>
      <c r="AU166" s="18" t="s">
        <v>20</v>
      </c>
    </row>
    <row r="167" spans="2:65" s="12" customFormat="1" ht="11.25" x14ac:dyDescent="0.3">
      <c r="B167" s="155"/>
      <c r="D167" s="156" t="s">
        <v>195</v>
      </c>
      <c r="E167" s="157" t="s">
        <v>1</v>
      </c>
      <c r="F167" s="158" t="s">
        <v>1898</v>
      </c>
      <c r="H167" s="159">
        <v>9.5839999999999996</v>
      </c>
      <c r="I167" s="160"/>
      <c r="L167" s="155"/>
      <c r="M167" s="161"/>
      <c r="T167" s="162"/>
      <c r="AT167" s="157" t="s">
        <v>195</v>
      </c>
      <c r="AU167" s="157" t="s">
        <v>20</v>
      </c>
      <c r="AV167" s="12" t="s">
        <v>20</v>
      </c>
      <c r="AW167" s="12" t="s">
        <v>37</v>
      </c>
      <c r="AX167" s="12" t="s">
        <v>81</v>
      </c>
      <c r="AY167" s="157" t="s">
        <v>184</v>
      </c>
    </row>
    <row r="168" spans="2:65" s="12" customFormat="1" ht="11.25" x14ac:dyDescent="0.3">
      <c r="B168" s="155"/>
      <c r="D168" s="156" t="s">
        <v>195</v>
      </c>
      <c r="E168" s="157" t="s">
        <v>1</v>
      </c>
      <c r="F168" s="158" t="s">
        <v>1899</v>
      </c>
      <c r="H168" s="159">
        <v>48.424999999999997</v>
      </c>
      <c r="I168" s="160"/>
      <c r="L168" s="155"/>
      <c r="M168" s="161"/>
      <c r="T168" s="162"/>
      <c r="AT168" s="157" t="s">
        <v>195</v>
      </c>
      <c r="AU168" s="157" t="s">
        <v>20</v>
      </c>
      <c r="AV168" s="12" t="s">
        <v>20</v>
      </c>
      <c r="AW168" s="12" t="s">
        <v>37</v>
      </c>
      <c r="AX168" s="12" t="s">
        <v>81</v>
      </c>
      <c r="AY168" s="157" t="s">
        <v>184</v>
      </c>
    </row>
    <row r="169" spans="2:65" s="13" customFormat="1" ht="11.25" x14ac:dyDescent="0.3">
      <c r="B169" s="163"/>
      <c r="D169" s="156" t="s">
        <v>195</v>
      </c>
      <c r="E169" s="164" t="s">
        <v>1</v>
      </c>
      <c r="F169" s="165" t="s">
        <v>230</v>
      </c>
      <c r="H169" s="166">
        <v>58.009</v>
      </c>
      <c r="I169" s="167"/>
      <c r="L169" s="163"/>
      <c r="M169" s="168"/>
      <c r="T169" s="169"/>
      <c r="AT169" s="164" t="s">
        <v>195</v>
      </c>
      <c r="AU169" s="164" t="s">
        <v>20</v>
      </c>
      <c r="AV169" s="13" t="s">
        <v>191</v>
      </c>
      <c r="AW169" s="13" t="s">
        <v>37</v>
      </c>
      <c r="AX169" s="13" t="s">
        <v>88</v>
      </c>
      <c r="AY169" s="164" t="s">
        <v>184</v>
      </c>
    </row>
    <row r="170" spans="2:65" s="1" customFormat="1" ht="24.2" customHeight="1" x14ac:dyDescent="0.3">
      <c r="B170" s="33"/>
      <c r="C170" s="138" t="s">
        <v>305</v>
      </c>
      <c r="D170" s="138" t="s">
        <v>186</v>
      </c>
      <c r="E170" s="139" t="s">
        <v>840</v>
      </c>
      <c r="F170" s="140" t="s">
        <v>1900</v>
      </c>
      <c r="G170" s="141" t="s">
        <v>217</v>
      </c>
      <c r="H170" s="142">
        <v>1.677</v>
      </c>
      <c r="I170" s="143">
        <v>5973.81</v>
      </c>
      <c r="J170" s="144">
        <f>ROUND(I170*H170,2)</f>
        <v>10018.08</v>
      </c>
      <c r="K170" s="140" t="s">
        <v>190</v>
      </c>
      <c r="L170" s="33"/>
      <c r="M170" s="145" t="s">
        <v>1</v>
      </c>
      <c r="N170" s="146" t="s">
        <v>47</v>
      </c>
      <c r="O170" s="147">
        <v>1.4650000000000001</v>
      </c>
      <c r="P170" s="147">
        <f>O170*H170</f>
        <v>2.4568050000000001</v>
      </c>
      <c r="Q170" s="147">
        <v>2.3010199999999998</v>
      </c>
      <c r="R170" s="147">
        <f>Q170*H170</f>
        <v>3.8588105399999999</v>
      </c>
      <c r="S170" s="147">
        <v>0</v>
      </c>
      <c r="T170" s="148">
        <f>S170*H170</f>
        <v>0</v>
      </c>
      <c r="AR170" s="149" t="s">
        <v>191</v>
      </c>
      <c r="AT170" s="149" t="s">
        <v>186</v>
      </c>
      <c r="AU170" s="149" t="s">
        <v>20</v>
      </c>
      <c r="AY170" s="18" t="s">
        <v>184</v>
      </c>
      <c r="BE170" s="150">
        <f>IF(N170="základní",J170,0)</f>
        <v>10018.08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8" t="s">
        <v>88</v>
      </c>
      <c r="BK170" s="150">
        <f>ROUND(I170*H170,2)</f>
        <v>10018.08</v>
      </c>
      <c r="BL170" s="18" t="s">
        <v>191</v>
      </c>
      <c r="BM170" s="149" t="s">
        <v>1901</v>
      </c>
    </row>
    <row r="171" spans="2:65" s="1" customFormat="1" x14ac:dyDescent="0.3">
      <c r="B171" s="33"/>
      <c r="D171" s="151" t="s">
        <v>193</v>
      </c>
      <c r="F171" s="152" t="s">
        <v>843</v>
      </c>
      <c r="I171" s="153"/>
      <c r="L171" s="33"/>
      <c r="M171" s="154"/>
      <c r="T171" s="57"/>
      <c r="AT171" s="18" t="s">
        <v>193</v>
      </c>
      <c r="AU171" s="18" t="s">
        <v>20</v>
      </c>
    </row>
    <row r="172" spans="2:65" s="12" customFormat="1" ht="11.25" x14ac:dyDescent="0.3">
      <c r="B172" s="155"/>
      <c r="D172" s="156" t="s">
        <v>195</v>
      </c>
      <c r="E172" s="157" t="s">
        <v>1</v>
      </c>
      <c r="F172" s="158" t="s">
        <v>1902</v>
      </c>
      <c r="H172" s="159">
        <v>1.339</v>
      </c>
      <c r="I172" s="160"/>
      <c r="L172" s="155"/>
      <c r="M172" s="161"/>
      <c r="T172" s="162"/>
      <c r="AT172" s="157" t="s">
        <v>195</v>
      </c>
      <c r="AU172" s="157" t="s">
        <v>20</v>
      </c>
      <c r="AV172" s="12" t="s">
        <v>20</v>
      </c>
      <c r="AW172" s="12" t="s">
        <v>37</v>
      </c>
      <c r="AX172" s="12" t="s">
        <v>81</v>
      </c>
      <c r="AY172" s="157" t="s">
        <v>184</v>
      </c>
    </row>
    <row r="173" spans="2:65" s="12" customFormat="1" ht="11.25" x14ac:dyDescent="0.3">
      <c r="B173" s="155"/>
      <c r="D173" s="156" t="s">
        <v>195</v>
      </c>
      <c r="E173" s="157" t="s">
        <v>1</v>
      </c>
      <c r="F173" s="158" t="s">
        <v>1903</v>
      </c>
      <c r="H173" s="159">
        <v>0.33800000000000002</v>
      </c>
      <c r="I173" s="160"/>
      <c r="L173" s="155"/>
      <c r="M173" s="161"/>
      <c r="T173" s="162"/>
      <c r="AT173" s="157" t="s">
        <v>195</v>
      </c>
      <c r="AU173" s="157" t="s">
        <v>20</v>
      </c>
      <c r="AV173" s="12" t="s">
        <v>20</v>
      </c>
      <c r="AW173" s="12" t="s">
        <v>37</v>
      </c>
      <c r="AX173" s="12" t="s">
        <v>81</v>
      </c>
      <c r="AY173" s="157" t="s">
        <v>184</v>
      </c>
    </row>
    <row r="174" spans="2:65" s="13" customFormat="1" ht="11.25" x14ac:dyDescent="0.3">
      <c r="B174" s="163"/>
      <c r="D174" s="156" t="s">
        <v>195</v>
      </c>
      <c r="E174" s="164" t="s">
        <v>1</v>
      </c>
      <c r="F174" s="165" t="s">
        <v>230</v>
      </c>
      <c r="H174" s="166">
        <v>1.677</v>
      </c>
      <c r="I174" s="167"/>
      <c r="L174" s="163"/>
      <c r="M174" s="168"/>
      <c r="T174" s="169"/>
      <c r="AT174" s="164" t="s">
        <v>195</v>
      </c>
      <c r="AU174" s="164" t="s">
        <v>20</v>
      </c>
      <c r="AV174" s="13" t="s">
        <v>191</v>
      </c>
      <c r="AW174" s="13" t="s">
        <v>37</v>
      </c>
      <c r="AX174" s="13" t="s">
        <v>88</v>
      </c>
      <c r="AY174" s="164" t="s">
        <v>184</v>
      </c>
    </row>
    <row r="175" spans="2:65" s="1" customFormat="1" ht="24.2" customHeight="1" x14ac:dyDescent="0.3">
      <c r="B175" s="33"/>
      <c r="C175" s="138" t="s">
        <v>311</v>
      </c>
      <c r="D175" s="138" t="s">
        <v>186</v>
      </c>
      <c r="E175" s="139" t="s">
        <v>1904</v>
      </c>
      <c r="F175" s="140" t="s">
        <v>1905</v>
      </c>
      <c r="G175" s="141" t="s">
        <v>217</v>
      </c>
      <c r="H175" s="142">
        <v>2.5499999999999998</v>
      </c>
      <c r="I175" s="143">
        <v>6613.34</v>
      </c>
      <c r="J175" s="144">
        <f>ROUND(I175*H175,2)</f>
        <v>16864.02</v>
      </c>
      <c r="K175" s="140" t="s">
        <v>190</v>
      </c>
      <c r="L175" s="33"/>
      <c r="M175" s="145" t="s">
        <v>1</v>
      </c>
      <c r="N175" s="146" t="s">
        <v>47</v>
      </c>
      <c r="O175" s="147">
        <v>1.4650000000000001</v>
      </c>
      <c r="P175" s="147">
        <f>O175*H175</f>
        <v>3.7357499999999999</v>
      </c>
      <c r="Q175" s="147">
        <v>2.5018699999999998</v>
      </c>
      <c r="R175" s="147">
        <f>Q175*H175</f>
        <v>6.3797684999999991</v>
      </c>
      <c r="S175" s="147">
        <v>0</v>
      </c>
      <c r="T175" s="148">
        <f>S175*H175</f>
        <v>0</v>
      </c>
      <c r="AR175" s="149" t="s">
        <v>191</v>
      </c>
      <c r="AT175" s="149" t="s">
        <v>186</v>
      </c>
      <c r="AU175" s="149" t="s">
        <v>20</v>
      </c>
      <c r="AY175" s="18" t="s">
        <v>184</v>
      </c>
      <c r="BE175" s="150">
        <f>IF(N175="základní",J175,0)</f>
        <v>16864.02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8" t="s">
        <v>88</v>
      </c>
      <c r="BK175" s="150">
        <f>ROUND(I175*H175,2)</f>
        <v>16864.02</v>
      </c>
      <c r="BL175" s="18" t="s">
        <v>191</v>
      </c>
      <c r="BM175" s="149" t="s">
        <v>1906</v>
      </c>
    </row>
    <row r="176" spans="2:65" s="1" customFormat="1" x14ac:dyDescent="0.3">
      <c r="B176" s="33"/>
      <c r="D176" s="151" t="s">
        <v>193</v>
      </c>
      <c r="F176" s="152" t="s">
        <v>1907</v>
      </c>
      <c r="I176" s="153"/>
      <c r="L176" s="33"/>
      <c r="M176" s="154"/>
      <c r="T176" s="57"/>
      <c r="AT176" s="18" t="s">
        <v>193</v>
      </c>
      <c r="AU176" s="18" t="s">
        <v>20</v>
      </c>
    </row>
    <row r="177" spans="2:65" s="12" customFormat="1" ht="11.25" x14ac:dyDescent="0.3">
      <c r="B177" s="155"/>
      <c r="D177" s="156" t="s">
        <v>195</v>
      </c>
      <c r="E177" s="157" t="s">
        <v>1</v>
      </c>
      <c r="F177" s="158" t="s">
        <v>1908</v>
      </c>
      <c r="H177" s="159">
        <v>2.5499999999999998</v>
      </c>
      <c r="I177" s="160"/>
      <c r="L177" s="155"/>
      <c r="M177" s="161"/>
      <c r="T177" s="162"/>
      <c r="AT177" s="157" t="s">
        <v>195</v>
      </c>
      <c r="AU177" s="157" t="s">
        <v>20</v>
      </c>
      <c r="AV177" s="12" t="s">
        <v>20</v>
      </c>
      <c r="AW177" s="12" t="s">
        <v>37</v>
      </c>
      <c r="AX177" s="12" t="s">
        <v>88</v>
      </c>
      <c r="AY177" s="157" t="s">
        <v>184</v>
      </c>
    </row>
    <row r="178" spans="2:65" s="1" customFormat="1" ht="24.2" customHeight="1" x14ac:dyDescent="0.3">
      <c r="B178" s="33"/>
      <c r="C178" s="138" t="s">
        <v>6</v>
      </c>
      <c r="D178" s="138" t="s">
        <v>186</v>
      </c>
      <c r="E178" s="139" t="s">
        <v>846</v>
      </c>
      <c r="F178" s="140" t="s">
        <v>1909</v>
      </c>
      <c r="G178" s="141" t="s">
        <v>557</v>
      </c>
      <c r="H178" s="142">
        <v>4</v>
      </c>
      <c r="I178" s="143">
        <v>1315.4</v>
      </c>
      <c r="J178" s="144">
        <f>ROUND(I178*H178,2)</f>
        <v>5261.6</v>
      </c>
      <c r="K178" s="140" t="s">
        <v>190</v>
      </c>
      <c r="L178" s="33"/>
      <c r="M178" s="145" t="s">
        <v>1</v>
      </c>
      <c r="N178" s="146" t="s">
        <v>47</v>
      </c>
      <c r="O178" s="147">
        <v>0.88500000000000001</v>
      </c>
      <c r="P178" s="147">
        <f>O178*H178</f>
        <v>3.54</v>
      </c>
      <c r="Q178" s="147">
        <v>8.8319999999999996E-2</v>
      </c>
      <c r="R178" s="147">
        <f>Q178*H178</f>
        <v>0.35327999999999998</v>
      </c>
      <c r="S178" s="147">
        <v>0</v>
      </c>
      <c r="T178" s="148">
        <f>S178*H178</f>
        <v>0</v>
      </c>
      <c r="AR178" s="149" t="s">
        <v>191</v>
      </c>
      <c r="AT178" s="149" t="s">
        <v>186</v>
      </c>
      <c r="AU178" s="149" t="s">
        <v>20</v>
      </c>
      <c r="AY178" s="18" t="s">
        <v>184</v>
      </c>
      <c r="BE178" s="150">
        <f>IF(N178="základní",J178,0)</f>
        <v>5261.6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8" t="s">
        <v>88</v>
      </c>
      <c r="BK178" s="150">
        <f>ROUND(I178*H178,2)</f>
        <v>5261.6</v>
      </c>
      <c r="BL178" s="18" t="s">
        <v>191</v>
      </c>
      <c r="BM178" s="149" t="s">
        <v>1910</v>
      </c>
    </row>
    <row r="179" spans="2:65" s="1" customFormat="1" x14ac:dyDescent="0.3">
      <c r="B179" s="33"/>
      <c r="D179" s="151" t="s">
        <v>193</v>
      </c>
      <c r="F179" s="152" t="s">
        <v>849</v>
      </c>
      <c r="I179" s="153"/>
      <c r="L179" s="33"/>
      <c r="M179" s="154"/>
      <c r="T179" s="57"/>
      <c r="AT179" s="18" t="s">
        <v>193</v>
      </c>
      <c r="AU179" s="18" t="s">
        <v>20</v>
      </c>
    </row>
    <row r="180" spans="2:65" s="1" customFormat="1" ht="19.5" x14ac:dyDescent="0.3">
      <c r="B180" s="33"/>
      <c r="D180" s="156" t="s">
        <v>236</v>
      </c>
      <c r="F180" s="170" t="s">
        <v>1911</v>
      </c>
      <c r="I180" s="153"/>
      <c r="L180" s="33"/>
      <c r="M180" s="154"/>
      <c r="T180" s="57"/>
      <c r="AT180" s="18" t="s">
        <v>236</v>
      </c>
      <c r="AU180" s="18" t="s">
        <v>20</v>
      </c>
    </row>
    <row r="181" spans="2:65" s="11" customFormat="1" ht="22.9" customHeight="1" x14ac:dyDescent="0.2">
      <c r="B181" s="127"/>
      <c r="D181" s="128" t="s">
        <v>80</v>
      </c>
      <c r="E181" s="136" t="s">
        <v>214</v>
      </c>
      <c r="F181" s="136" t="s">
        <v>263</v>
      </c>
      <c r="I181" s="171"/>
      <c r="J181" s="137">
        <f>BK181</f>
        <v>26261.67</v>
      </c>
      <c r="L181" s="127"/>
      <c r="M181" s="131"/>
      <c r="P181" s="132">
        <f>SUM(P182:P191)</f>
        <v>14.382927</v>
      </c>
      <c r="R181" s="132">
        <f>SUM(R182:R191)</f>
        <v>3.9919051200000002</v>
      </c>
      <c r="T181" s="133">
        <f>SUM(T182:T191)</f>
        <v>0</v>
      </c>
      <c r="AR181" s="128" t="s">
        <v>88</v>
      </c>
      <c r="AT181" s="134" t="s">
        <v>80</v>
      </c>
      <c r="AU181" s="134" t="s">
        <v>88</v>
      </c>
      <c r="AY181" s="128" t="s">
        <v>184</v>
      </c>
      <c r="BK181" s="135">
        <f>SUM(BK182:BK191)</f>
        <v>26261.67</v>
      </c>
    </row>
    <row r="182" spans="2:65" s="1" customFormat="1" ht="33" customHeight="1" x14ac:dyDescent="0.3">
      <c r="B182" s="33"/>
      <c r="C182" s="138" t="s">
        <v>322</v>
      </c>
      <c r="D182" s="138" t="s">
        <v>186</v>
      </c>
      <c r="E182" s="139" t="s">
        <v>1912</v>
      </c>
      <c r="F182" s="140" t="s">
        <v>1913</v>
      </c>
      <c r="G182" s="141" t="s">
        <v>189</v>
      </c>
      <c r="H182" s="142">
        <v>12.717000000000001</v>
      </c>
      <c r="I182" s="143">
        <v>902.43</v>
      </c>
      <c r="J182" s="144">
        <f>ROUND(I182*H182,2)</f>
        <v>11476.2</v>
      </c>
      <c r="K182" s="140" t="s">
        <v>190</v>
      </c>
      <c r="L182" s="33"/>
      <c r="M182" s="145" t="s">
        <v>1</v>
      </c>
      <c r="N182" s="146" t="s">
        <v>47</v>
      </c>
      <c r="O182" s="147">
        <v>1.131</v>
      </c>
      <c r="P182" s="147">
        <f>O182*H182</f>
        <v>14.382927</v>
      </c>
      <c r="Q182" s="147">
        <v>0.19536000000000001</v>
      </c>
      <c r="R182" s="147">
        <f>Q182*H182</f>
        <v>2.48439312</v>
      </c>
      <c r="S182" s="147">
        <v>0</v>
      </c>
      <c r="T182" s="148">
        <f>S182*H182</f>
        <v>0</v>
      </c>
      <c r="AR182" s="149" t="s">
        <v>191</v>
      </c>
      <c r="AT182" s="149" t="s">
        <v>186</v>
      </c>
      <c r="AU182" s="149" t="s">
        <v>20</v>
      </c>
      <c r="AY182" s="18" t="s">
        <v>184</v>
      </c>
      <c r="BE182" s="150">
        <f>IF(N182="základní",J182,0)</f>
        <v>11476.2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8" t="s">
        <v>88</v>
      </c>
      <c r="BK182" s="150">
        <f>ROUND(I182*H182,2)</f>
        <v>11476.2</v>
      </c>
      <c r="BL182" s="18" t="s">
        <v>191</v>
      </c>
      <c r="BM182" s="149" t="s">
        <v>1914</v>
      </c>
    </row>
    <row r="183" spans="2:65" s="1" customFormat="1" x14ac:dyDescent="0.3">
      <c r="B183" s="33"/>
      <c r="D183" s="151" t="s">
        <v>193</v>
      </c>
      <c r="F183" s="152" t="s">
        <v>1915</v>
      </c>
      <c r="I183" s="153"/>
      <c r="L183" s="33"/>
      <c r="M183" s="154"/>
      <c r="T183" s="57"/>
      <c r="AT183" s="18" t="s">
        <v>193</v>
      </c>
      <c r="AU183" s="18" t="s">
        <v>20</v>
      </c>
    </row>
    <row r="184" spans="2:65" s="12" customFormat="1" ht="11.25" x14ac:dyDescent="0.3">
      <c r="B184" s="155"/>
      <c r="D184" s="156" t="s">
        <v>195</v>
      </c>
      <c r="E184" s="157" t="s">
        <v>1</v>
      </c>
      <c r="F184" s="158" t="s">
        <v>1916</v>
      </c>
      <c r="H184" s="159">
        <v>9.42</v>
      </c>
      <c r="I184" s="160"/>
      <c r="L184" s="155"/>
      <c r="M184" s="161"/>
      <c r="T184" s="162"/>
      <c r="AT184" s="157" t="s">
        <v>195</v>
      </c>
      <c r="AU184" s="157" t="s">
        <v>20</v>
      </c>
      <c r="AV184" s="12" t="s">
        <v>20</v>
      </c>
      <c r="AW184" s="12" t="s">
        <v>37</v>
      </c>
      <c r="AX184" s="12" t="s">
        <v>81</v>
      </c>
      <c r="AY184" s="157" t="s">
        <v>184</v>
      </c>
    </row>
    <row r="185" spans="2:65" s="12" customFormat="1" ht="11.25" x14ac:dyDescent="0.3">
      <c r="B185" s="155"/>
      <c r="D185" s="156" t="s">
        <v>195</v>
      </c>
      <c r="E185" s="157" t="s">
        <v>1</v>
      </c>
      <c r="F185" s="158" t="s">
        <v>1917</v>
      </c>
      <c r="H185" s="159">
        <v>3.2970000000000002</v>
      </c>
      <c r="I185" s="160"/>
      <c r="L185" s="155"/>
      <c r="M185" s="161"/>
      <c r="T185" s="162"/>
      <c r="AT185" s="157" t="s">
        <v>195</v>
      </c>
      <c r="AU185" s="157" t="s">
        <v>20</v>
      </c>
      <c r="AV185" s="12" t="s">
        <v>20</v>
      </c>
      <c r="AW185" s="12" t="s">
        <v>37</v>
      </c>
      <c r="AX185" s="12" t="s">
        <v>81</v>
      </c>
      <c r="AY185" s="157" t="s">
        <v>184</v>
      </c>
    </row>
    <row r="186" spans="2:65" s="13" customFormat="1" ht="11.25" x14ac:dyDescent="0.3">
      <c r="B186" s="163"/>
      <c r="D186" s="156" t="s">
        <v>195</v>
      </c>
      <c r="E186" s="164" t="s">
        <v>1</v>
      </c>
      <c r="F186" s="165" t="s">
        <v>230</v>
      </c>
      <c r="H186" s="166">
        <v>12.717000000000001</v>
      </c>
      <c r="I186" s="167"/>
      <c r="L186" s="163"/>
      <c r="M186" s="168"/>
      <c r="T186" s="169"/>
      <c r="AT186" s="164" t="s">
        <v>195</v>
      </c>
      <c r="AU186" s="164" t="s">
        <v>20</v>
      </c>
      <c r="AV186" s="13" t="s">
        <v>191</v>
      </c>
      <c r="AW186" s="13" t="s">
        <v>37</v>
      </c>
      <c r="AX186" s="13" t="s">
        <v>88</v>
      </c>
      <c r="AY186" s="164" t="s">
        <v>184</v>
      </c>
    </row>
    <row r="187" spans="2:65" s="1" customFormat="1" ht="16.5" customHeight="1" x14ac:dyDescent="0.3">
      <c r="B187" s="33"/>
      <c r="C187" s="172" t="s">
        <v>328</v>
      </c>
      <c r="D187" s="172" t="s">
        <v>271</v>
      </c>
      <c r="E187" s="173" t="s">
        <v>1918</v>
      </c>
      <c r="F187" s="174" t="s">
        <v>1919</v>
      </c>
      <c r="G187" s="175" t="s">
        <v>189</v>
      </c>
      <c r="H187" s="176">
        <v>3.3959999999999999</v>
      </c>
      <c r="I187" s="177">
        <v>871.05</v>
      </c>
      <c r="J187" s="178">
        <f>ROUND(I187*H187,2)</f>
        <v>2958.09</v>
      </c>
      <c r="K187" s="174" t="s">
        <v>190</v>
      </c>
      <c r="L187" s="179"/>
      <c r="M187" s="180" t="s">
        <v>1</v>
      </c>
      <c r="N187" s="181" t="s">
        <v>47</v>
      </c>
      <c r="O187" s="147">
        <v>0</v>
      </c>
      <c r="P187" s="147">
        <f>O187*H187</f>
        <v>0</v>
      </c>
      <c r="Q187" s="147">
        <v>0.222</v>
      </c>
      <c r="R187" s="147">
        <f>Q187*H187</f>
        <v>0.75391200000000003</v>
      </c>
      <c r="S187" s="147">
        <v>0</v>
      </c>
      <c r="T187" s="148">
        <f>S187*H187</f>
        <v>0</v>
      </c>
      <c r="AR187" s="149" t="s">
        <v>239</v>
      </c>
      <c r="AT187" s="149" t="s">
        <v>271</v>
      </c>
      <c r="AU187" s="149" t="s">
        <v>20</v>
      </c>
      <c r="AY187" s="18" t="s">
        <v>184</v>
      </c>
      <c r="BE187" s="150">
        <f>IF(N187="základní",J187,0)</f>
        <v>2958.09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8" t="s">
        <v>88</v>
      </c>
      <c r="BK187" s="150">
        <f>ROUND(I187*H187,2)</f>
        <v>2958.09</v>
      </c>
      <c r="BL187" s="18" t="s">
        <v>191</v>
      </c>
      <c r="BM187" s="149" t="s">
        <v>1920</v>
      </c>
    </row>
    <row r="188" spans="2:65" s="12" customFormat="1" ht="11.25" x14ac:dyDescent="0.3">
      <c r="B188" s="155"/>
      <c r="D188" s="156" t="s">
        <v>195</v>
      </c>
      <c r="E188" s="157" t="s">
        <v>1</v>
      </c>
      <c r="F188" s="158" t="s">
        <v>1917</v>
      </c>
      <c r="H188" s="159">
        <v>3.2970000000000002</v>
      </c>
      <c r="I188" s="160"/>
      <c r="L188" s="155"/>
      <c r="M188" s="161"/>
      <c r="T188" s="162"/>
      <c r="AT188" s="157" t="s">
        <v>195</v>
      </c>
      <c r="AU188" s="157" t="s">
        <v>20</v>
      </c>
      <c r="AV188" s="12" t="s">
        <v>20</v>
      </c>
      <c r="AW188" s="12" t="s">
        <v>37</v>
      </c>
      <c r="AX188" s="12" t="s">
        <v>81</v>
      </c>
      <c r="AY188" s="157" t="s">
        <v>184</v>
      </c>
    </row>
    <row r="189" spans="2:65" s="12" customFormat="1" ht="11.25" x14ac:dyDescent="0.3">
      <c r="B189" s="155"/>
      <c r="D189" s="156" t="s">
        <v>195</v>
      </c>
      <c r="E189" s="157" t="s">
        <v>1</v>
      </c>
      <c r="F189" s="158" t="s">
        <v>1921</v>
      </c>
      <c r="H189" s="159">
        <v>3.3959999999999999</v>
      </c>
      <c r="I189" s="160"/>
      <c r="L189" s="155"/>
      <c r="M189" s="161"/>
      <c r="T189" s="162"/>
      <c r="AT189" s="157" t="s">
        <v>195</v>
      </c>
      <c r="AU189" s="157" t="s">
        <v>20</v>
      </c>
      <c r="AV189" s="12" t="s">
        <v>20</v>
      </c>
      <c r="AW189" s="12" t="s">
        <v>37</v>
      </c>
      <c r="AX189" s="12" t="s">
        <v>88</v>
      </c>
      <c r="AY189" s="157" t="s">
        <v>184</v>
      </c>
    </row>
    <row r="190" spans="2:65" s="1" customFormat="1" ht="16.5" customHeight="1" x14ac:dyDescent="0.3">
      <c r="B190" s="33"/>
      <c r="C190" s="172" t="s">
        <v>334</v>
      </c>
      <c r="D190" s="172" t="s">
        <v>271</v>
      </c>
      <c r="E190" s="173" t="s">
        <v>1922</v>
      </c>
      <c r="F190" s="174" t="s">
        <v>1923</v>
      </c>
      <c r="G190" s="175" t="s">
        <v>189</v>
      </c>
      <c r="H190" s="176">
        <v>9.42</v>
      </c>
      <c r="I190" s="177">
        <v>1255.56</v>
      </c>
      <c r="J190" s="178">
        <f>ROUND(I190*H190,2)</f>
        <v>11827.38</v>
      </c>
      <c r="K190" s="174" t="s">
        <v>190</v>
      </c>
      <c r="L190" s="179"/>
      <c r="M190" s="180" t="s">
        <v>1</v>
      </c>
      <c r="N190" s="181" t="s">
        <v>47</v>
      </c>
      <c r="O190" s="147">
        <v>0</v>
      </c>
      <c r="P190" s="147">
        <f>O190*H190</f>
        <v>0</v>
      </c>
      <c r="Q190" s="147">
        <v>0.08</v>
      </c>
      <c r="R190" s="147">
        <f>Q190*H190</f>
        <v>0.75360000000000005</v>
      </c>
      <c r="S190" s="147">
        <v>0</v>
      </c>
      <c r="T190" s="148">
        <f>S190*H190</f>
        <v>0</v>
      </c>
      <c r="AR190" s="149" t="s">
        <v>239</v>
      </c>
      <c r="AT190" s="149" t="s">
        <v>271</v>
      </c>
      <c r="AU190" s="149" t="s">
        <v>20</v>
      </c>
      <c r="AY190" s="18" t="s">
        <v>184</v>
      </c>
      <c r="BE190" s="150">
        <f>IF(N190="základní",J190,0)</f>
        <v>11827.38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8" t="s">
        <v>88</v>
      </c>
      <c r="BK190" s="150">
        <f>ROUND(I190*H190,2)</f>
        <v>11827.38</v>
      </c>
      <c r="BL190" s="18" t="s">
        <v>191</v>
      </c>
      <c r="BM190" s="149" t="s">
        <v>1924</v>
      </c>
    </row>
    <row r="191" spans="2:65" s="12" customFormat="1" ht="11.25" x14ac:dyDescent="0.3">
      <c r="B191" s="155"/>
      <c r="D191" s="156" t="s">
        <v>195</v>
      </c>
      <c r="E191" s="157" t="s">
        <v>1</v>
      </c>
      <c r="F191" s="158" t="s">
        <v>1916</v>
      </c>
      <c r="H191" s="159">
        <v>9.42</v>
      </c>
      <c r="I191" s="160"/>
      <c r="L191" s="155"/>
      <c r="M191" s="161"/>
      <c r="T191" s="162"/>
      <c r="AT191" s="157" t="s">
        <v>195</v>
      </c>
      <c r="AU191" s="157" t="s">
        <v>20</v>
      </c>
      <c r="AV191" s="12" t="s">
        <v>20</v>
      </c>
      <c r="AW191" s="12" t="s">
        <v>37</v>
      </c>
      <c r="AX191" s="12" t="s">
        <v>88</v>
      </c>
      <c r="AY191" s="157" t="s">
        <v>184</v>
      </c>
    </row>
    <row r="192" spans="2:65" s="11" customFormat="1" ht="22.9" customHeight="1" x14ac:dyDescent="0.2">
      <c r="B192" s="127"/>
      <c r="D192" s="128" t="s">
        <v>80</v>
      </c>
      <c r="E192" s="136" t="s">
        <v>239</v>
      </c>
      <c r="F192" s="136" t="s">
        <v>851</v>
      </c>
      <c r="I192" s="171"/>
      <c r="J192" s="137">
        <f>BK192</f>
        <v>1909398.1799999997</v>
      </c>
      <c r="L192" s="127"/>
      <c r="M192" s="131"/>
      <c r="P192" s="132">
        <f>SUM(P193:P264)</f>
        <v>325.18785400000007</v>
      </c>
      <c r="R192" s="132">
        <f>SUM(R193:R264)</f>
        <v>26.641816739999999</v>
      </c>
      <c r="T192" s="133">
        <f>SUM(T193:T264)</f>
        <v>4.3550000000000004</v>
      </c>
      <c r="AR192" s="128" t="s">
        <v>88</v>
      </c>
      <c r="AT192" s="134" t="s">
        <v>80</v>
      </c>
      <c r="AU192" s="134" t="s">
        <v>88</v>
      </c>
      <c r="AY192" s="128" t="s">
        <v>184</v>
      </c>
      <c r="BK192" s="135">
        <f>SUM(BK193:BK264)</f>
        <v>1909398.1799999997</v>
      </c>
    </row>
    <row r="193" spans="2:65" s="1" customFormat="1" ht="16.5" customHeight="1" x14ac:dyDescent="0.3">
      <c r="B193" s="33"/>
      <c r="C193" s="138" t="s">
        <v>340</v>
      </c>
      <c r="D193" s="138" t="s">
        <v>186</v>
      </c>
      <c r="E193" s="139" t="s">
        <v>1925</v>
      </c>
      <c r="F193" s="140" t="s">
        <v>1926</v>
      </c>
      <c r="G193" s="141" t="s">
        <v>210</v>
      </c>
      <c r="H193" s="142">
        <v>67</v>
      </c>
      <c r="I193" s="143">
        <v>229.08</v>
      </c>
      <c r="J193" s="144">
        <f>ROUND(I193*H193,2)</f>
        <v>15348.36</v>
      </c>
      <c r="K193" s="140" t="s">
        <v>190</v>
      </c>
      <c r="L193" s="33"/>
      <c r="M193" s="145" t="s">
        <v>1</v>
      </c>
      <c r="N193" s="146" t="s">
        <v>47</v>
      </c>
      <c r="O193" s="147">
        <v>0.127</v>
      </c>
      <c r="P193" s="147">
        <f>O193*H193</f>
        <v>8.5090000000000003</v>
      </c>
      <c r="Q193" s="147">
        <v>0</v>
      </c>
      <c r="R193" s="147">
        <f>Q193*H193</f>
        <v>0</v>
      </c>
      <c r="S193" s="147">
        <v>6.5000000000000002E-2</v>
      </c>
      <c r="T193" s="148">
        <f>S193*H193</f>
        <v>4.3550000000000004</v>
      </c>
      <c r="AR193" s="149" t="s">
        <v>191</v>
      </c>
      <c r="AT193" s="149" t="s">
        <v>186</v>
      </c>
      <c r="AU193" s="149" t="s">
        <v>20</v>
      </c>
      <c r="AY193" s="18" t="s">
        <v>184</v>
      </c>
      <c r="BE193" s="150">
        <f>IF(N193="základní",J193,0)</f>
        <v>15348.36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8" t="s">
        <v>88</v>
      </c>
      <c r="BK193" s="150">
        <f>ROUND(I193*H193,2)</f>
        <v>15348.36</v>
      </c>
      <c r="BL193" s="18" t="s">
        <v>191</v>
      </c>
      <c r="BM193" s="149" t="s">
        <v>1927</v>
      </c>
    </row>
    <row r="194" spans="2:65" s="1" customFormat="1" x14ac:dyDescent="0.3">
      <c r="B194" s="33"/>
      <c r="D194" s="151" t="s">
        <v>193</v>
      </c>
      <c r="F194" s="152" t="s">
        <v>1928</v>
      </c>
      <c r="I194" s="153"/>
      <c r="L194" s="33"/>
      <c r="M194" s="154"/>
      <c r="T194" s="57"/>
      <c r="AT194" s="18" t="s">
        <v>193</v>
      </c>
      <c r="AU194" s="18" t="s">
        <v>20</v>
      </c>
    </row>
    <row r="195" spans="2:65" s="1" customFormat="1" ht="16.5" customHeight="1" x14ac:dyDescent="0.3">
      <c r="B195" s="33"/>
      <c r="C195" s="138" t="s">
        <v>346</v>
      </c>
      <c r="D195" s="138" t="s">
        <v>186</v>
      </c>
      <c r="E195" s="139" t="s">
        <v>858</v>
      </c>
      <c r="F195" s="140" t="s">
        <v>1929</v>
      </c>
      <c r="G195" s="141" t="s">
        <v>210</v>
      </c>
      <c r="H195" s="142">
        <v>119.86</v>
      </c>
      <c r="I195" s="143">
        <v>381.79</v>
      </c>
      <c r="J195" s="144">
        <f>ROUND(I195*H195,2)</f>
        <v>45761.35</v>
      </c>
      <c r="K195" s="140" t="s">
        <v>190</v>
      </c>
      <c r="L195" s="33"/>
      <c r="M195" s="145" t="s">
        <v>1</v>
      </c>
      <c r="N195" s="146" t="s">
        <v>47</v>
      </c>
      <c r="O195" s="147">
        <v>0.29199999999999998</v>
      </c>
      <c r="P195" s="147">
        <f>O195*H195</f>
        <v>34.999119999999998</v>
      </c>
      <c r="Q195" s="147">
        <v>1.0000000000000001E-5</v>
      </c>
      <c r="R195" s="147">
        <f>Q195*H195</f>
        <v>1.1986000000000002E-3</v>
      </c>
      <c r="S195" s="147">
        <v>0</v>
      </c>
      <c r="T195" s="148">
        <f>S195*H195</f>
        <v>0</v>
      </c>
      <c r="AR195" s="149" t="s">
        <v>191</v>
      </c>
      <c r="AT195" s="149" t="s">
        <v>186</v>
      </c>
      <c r="AU195" s="149" t="s">
        <v>20</v>
      </c>
      <c r="AY195" s="18" t="s">
        <v>184</v>
      </c>
      <c r="BE195" s="150">
        <f>IF(N195="základní",J195,0)</f>
        <v>45761.35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8" t="s">
        <v>88</v>
      </c>
      <c r="BK195" s="150">
        <f>ROUND(I195*H195,2)</f>
        <v>45761.35</v>
      </c>
      <c r="BL195" s="18" t="s">
        <v>191</v>
      </c>
      <c r="BM195" s="149" t="s">
        <v>1930</v>
      </c>
    </row>
    <row r="196" spans="2:65" s="1" customFormat="1" x14ac:dyDescent="0.3">
      <c r="B196" s="33"/>
      <c r="D196" s="151" t="s">
        <v>193</v>
      </c>
      <c r="F196" s="152" t="s">
        <v>861</v>
      </c>
      <c r="I196" s="153"/>
      <c r="L196" s="33"/>
      <c r="M196" s="154"/>
      <c r="T196" s="57"/>
      <c r="AT196" s="18" t="s">
        <v>193</v>
      </c>
      <c r="AU196" s="18" t="s">
        <v>20</v>
      </c>
    </row>
    <row r="197" spans="2:65" s="12" customFormat="1" ht="11.25" x14ac:dyDescent="0.3">
      <c r="B197" s="155"/>
      <c r="D197" s="156" t="s">
        <v>195</v>
      </c>
      <c r="E197" s="157" t="s">
        <v>1</v>
      </c>
      <c r="F197" s="158" t="s">
        <v>1931</v>
      </c>
      <c r="H197" s="159">
        <v>119.86</v>
      </c>
      <c r="I197" s="160"/>
      <c r="L197" s="155"/>
      <c r="M197" s="161"/>
      <c r="T197" s="162"/>
      <c r="AT197" s="157" t="s">
        <v>195</v>
      </c>
      <c r="AU197" s="157" t="s">
        <v>20</v>
      </c>
      <c r="AV197" s="12" t="s">
        <v>20</v>
      </c>
      <c r="AW197" s="12" t="s">
        <v>37</v>
      </c>
      <c r="AX197" s="12" t="s">
        <v>88</v>
      </c>
      <c r="AY197" s="157" t="s">
        <v>184</v>
      </c>
    </row>
    <row r="198" spans="2:65" s="1" customFormat="1" ht="16.5" customHeight="1" x14ac:dyDescent="0.3">
      <c r="B198" s="33"/>
      <c r="C198" s="172" t="s">
        <v>353</v>
      </c>
      <c r="D198" s="172" t="s">
        <v>271</v>
      </c>
      <c r="E198" s="173" t="s">
        <v>864</v>
      </c>
      <c r="F198" s="174" t="s">
        <v>865</v>
      </c>
      <c r="G198" s="175" t="s">
        <v>210</v>
      </c>
      <c r="H198" s="176">
        <v>155.81800000000001</v>
      </c>
      <c r="I198" s="177">
        <v>329.94</v>
      </c>
      <c r="J198" s="178">
        <f>ROUND(I198*H198,2)</f>
        <v>51410.59</v>
      </c>
      <c r="K198" s="174" t="s">
        <v>190</v>
      </c>
      <c r="L198" s="179"/>
      <c r="M198" s="180" t="s">
        <v>1</v>
      </c>
      <c r="N198" s="181" t="s">
        <v>47</v>
      </c>
      <c r="O198" s="147">
        <v>0</v>
      </c>
      <c r="P198" s="147">
        <f>O198*H198</f>
        <v>0</v>
      </c>
      <c r="Q198" s="147">
        <v>2.8999999999999998E-3</v>
      </c>
      <c r="R198" s="147">
        <f>Q198*H198</f>
        <v>0.4518722</v>
      </c>
      <c r="S198" s="147">
        <v>0</v>
      </c>
      <c r="T198" s="148">
        <f>S198*H198</f>
        <v>0</v>
      </c>
      <c r="AR198" s="149" t="s">
        <v>239</v>
      </c>
      <c r="AT198" s="149" t="s">
        <v>271</v>
      </c>
      <c r="AU198" s="149" t="s">
        <v>20</v>
      </c>
      <c r="AY198" s="18" t="s">
        <v>184</v>
      </c>
      <c r="BE198" s="150">
        <f>IF(N198="základní",J198,0)</f>
        <v>51410.59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8" t="s">
        <v>88</v>
      </c>
      <c r="BK198" s="150">
        <f>ROUND(I198*H198,2)</f>
        <v>51410.59</v>
      </c>
      <c r="BL198" s="18" t="s">
        <v>191</v>
      </c>
      <c r="BM198" s="149" t="s">
        <v>1932</v>
      </c>
    </row>
    <row r="199" spans="2:65" s="1" customFormat="1" ht="19.5" x14ac:dyDescent="0.3">
      <c r="B199" s="33"/>
      <c r="D199" s="156" t="s">
        <v>236</v>
      </c>
      <c r="F199" s="170" t="s">
        <v>867</v>
      </c>
      <c r="I199" s="153"/>
      <c r="L199" s="33"/>
      <c r="M199" s="154"/>
      <c r="T199" s="57"/>
      <c r="AT199" s="18" t="s">
        <v>236</v>
      </c>
      <c r="AU199" s="18" t="s">
        <v>20</v>
      </c>
    </row>
    <row r="200" spans="2:65" s="12" customFormat="1" ht="11.25" x14ac:dyDescent="0.3">
      <c r="B200" s="155"/>
      <c r="D200" s="156" t="s">
        <v>195</v>
      </c>
      <c r="E200" s="157" t="s">
        <v>1</v>
      </c>
      <c r="F200" s="158" t="s">
        <v>1933</v>
      </c>
      <c r="H200" s="159">
        <v>155.81800000000001</v>
      </c>
      <c r="I200" s="160"/>
      <c r="L200" s="155"/>
      <c r="M200" s="161"/>
      <c r="T200" s="162"/>
      <c r="AT200" s="157" t="s">
        <v>195</v>
      </c>
      <c r="AU200" s="157" t="s">
        <v>20</v>
      </c>
      <c r="AV200" s="12" t="s">
        <v>20</v>
      </c>
      <c r="AW200" s="12" t="s">
        <v>37</v>
      </c>
      <c r="AX200" s="12" t="s">
        <v>88</v>
      </c>
      <c r="AY200" s="157" t="s">
        <v>184</v>
      </c>
    </row>
    <row r="201" spans="2:65" s="1" customFormat="1" ht="16.5" customHeight="1" x14ac:dyDescent="0.3">
      <c r="B201" s="33"/>
      <c r="C201" s="138" t="s">
        <v>360</v>
      </c>
      <c r="D201" s="138" t="s">
        <v>186</v>
      </c>
      <c r="E201" s="139" t="s">
        <v>878</v>
      </c>
      <c r="F201" s="140" t="s">
        <v>1934</v>
      </c>
      <c r="G201" s="141" t="s">
        <v>210</v>
      </c>
      <c r="H201" s="142">
        <v>193.69</v>
      </c>
      <c r="I201" s="143">
        <v>916.31</v>
      </c>
      <c r="J201" s="144">
        <f>ROUND(I201*H201,2)</f>
        <v>177480.08</v>
      </c>
      <c r="K201" s="140" t="s">
        <v>190</v>
      </c>
      <c r="L201" s="33"/>
      <c r="M201" s="145" t="s">
        <v>1</v>
      </c>
      <c r="N201" s="146" t="s">
        <v>47</v>
      </c>
      <c r="O201" s="147">
        <v>0.441</v>
      </c>
      <c r="P201" s="147">
        <f>O201*H201</f>
        <v>85.417289999999994</v>
      </c>
      <c r="Q201" s="147">
        <v>3.0000000000000001E-5</v>
      </c>
      <c r="R201" s="147">
        <f>Q201*H201</f>
        <v>5.8107000000000002E-3</v>
      </c>
      <c r="S201" s="147">
        <v>0</v>
      </c>
      <c r="T201" s="148">
        <f>S201*H201</f>
        <v>0</v>
      </c>
      <c r="AR201" s="149" t="s">
        <v>191</v>
      </c>
      <c r="AT201" s="149" t="s">
        <v>186</v>
      </c>
      <c r="AU201" s="149" t="s">
        <v>20</v>
      </c>
      <c r="AY201" s="18" t="s">
        <v>184</v>
      </c>
      <c r="BE201" s="150">
        <f>IF(N201="základní",J201,0)</f>
        <v>177480.08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8" t="s">
        <v>88</v>
      </c>
      <c r="BK201" s="150">
        <f>ROUND(I201*H201,2)</f>
        <v>177480.08</v>
      </c>
      <c r="BL201" s="18" t="s">
        <v>191</v>
      </c>
      <c r="BM201" s="149" t="s">
        <v>1935</v>
      </c>
    </row>
    <row r="202" spans="2:65" s="1" customFormat="1" x14ac:dyDescent="0.3">
      <c r="B202" s="33"/>
      <c r="D202" s="151" t="s">
        <v>193</v>
      </c>
      <c r="F202" s="152" t="s">
        <v>881</v>
      </c>
      <c r="I202" s="153"/>
      <c r="L202" s="33"/>
      <c r="M202" s="154"/>
      <c r="T202" s="57"/>
      <c r="AT202" s="18" t="s">
        <v>193</v>
      </c>
      <c r="AU202" s="18" t="s">
        <v>20</v>
      </c>
    </row>
    <row r="203" spans="2:65" s="12" customFormat="1" ht="11.25" x14ac:dyDescent="0.3">
      <c r="B203" s="155"/>
      <c r="D203" s="156" t="s">
        <v>195</v>
      </c>
      <c r="E203" s="157" t="s">
        <v>1</v>
      </c>
      <c r="F203" s="158" t="s">
        <v>1936</v>
      </c>
      <c r="H203" s="159">
        <v>193.69</v>
      </c>
      <c r="I203" s="160"/>
      <c r="L203" s="155"/>
      <c r="M203" s="161"/>
      <c r="T203" s="162"/>
      <c r="AT203" s="157" t="s">
        <v>195</v>
      </c>
      <c r="AU203" s="157" t="s">
        <v>20</v>
      </c>
      <c r="AV203" s="12" t="s">
        <v>20</v>
      </c>
      <c r="AW203" s="12" t="s">
        <v>37</v>
      </c>
      <c r="AX203" s="12" t="s">
        <v>88</v>
      </c>
      <c r="AY203" s="157" t="s">
        <v>184</v>
      </c>
    </row>
    <row r="204" spans="2:65" s="1" customFormat="1" ht="16.5" customHeight="1" x14ac:dyDescent="0.3">
      <c r="B204" s="33"/>
      <c r="C204" s="172" t="s">
        <v>368</v>
      </c>
      <c r="D204" s="172" t="s">
        <v>271</v>
      </c>
      <c r="E204" s="173" t="s">
        <v>883</v>
      </c>
      <c r="F204" s="174" t="s">
        <v>884</v>
      </c>
      <c r="G204" s="175" t="s">
        <v>210</v>
      </c>
      <c r="H204" s="176">
        <v>196.595</v>
      </c>
      <c r="I204" s="177">
        <v>5813.93</v>
      </c>
      <c r="J204" s="178">
        <f>ROUND(I204*H204,2)</f>
        <v>1142989.57</v>
      </c>
      <c r="K204" s="174" t="s">
        <v>190</v>
      </c>
      <c r="L204" s="179"/>
      <c r="M204" s="180" t="s">
        <v>1</v>
      </c>
      <c r="N204" s="181" t="s">
        <v>47</v>
      </c>
      <c r="O204" s="147">
        <v>0</v>
      </c>
      <c r="P204" s="147">
        <f>O204*H204</f>
        <v>0</v>
      </c>
      <c r="Q204" s="147">
        <v>2.8400000000000002E-2</v>
      </c>
      <c r="R204" s="147">
        <f>Q204*H204</f>
        <v>5.5832980000000001</v>
      </c>
      <c r="S204" s="147">
        <v>0</v>
      </c>
      <c r="T204" s="148">
        <f>S204*H204</f>
        <v>0</v>
      </c>
      <c r="AR204" s="149" t="s">
        <v>239</v>
      </c>
      <c r="AT204" s="149" t="s">
        <v>271</v>
      </c>
      <c r="AU204" s="149" t="s">
        <v>20</v>
      </c>
      <c r="AY204" s="18" t="s">
        <v>184</v>
      </c>
      <c r="BE204" s="150">
        <f>IF(N204="základní",J204,0)</f>
        <v>1142989.57</v>
      </c>
      <c r="BF204" s="150">
        <f>IF(N204="snížená",J204,0)</f>
        <v>0</v>
      </c>
      <c r="BG204" s="150">
        <f>IF(N204="zákl. přenesená",J204,0)</f>
        <v>0</v>
      </c>
      <c r="BH204" s="150">
        <f>IF(N204="sníž. přenesená",J204,0)</f>
        <v>0</v>
      </c>
      <c r="BI204" s="150">
        <f>IF(N204="nulová",J204,0)</f>
        <v>0</v>
      </c>
      <c r="BJ204" s="18" t="s">
        <v>88</v>
      </c>
      <c r="BK204" s="150">
        <f>ROUND(I204*H204,2)</f>
        <v>1142989.57</v>
      </c>
      <c r="BL204" s="18" t="s">
        <v>191</v>
      </c>
      <c r="BM204" s="149" t="s">
        <v>1937</v>
      </c>
    </row>
    <row r="205" spans="2:65" s="12" customFormat="1" ht="11.25" x14ac:dyDescent="0.3">
      <c r="B205" s="155"/>
      <c r="D205" s="156" t="s">
        <v>195</v>
      </c>
      <c r="E205" s="157" t="s">
        <v>1</v>
      </c>
      <c r="F205" s="158" t="s">
        <v>1938</v>
      </c>
      <c r="H205" s="159">
        <v>196.595</v>
      </c>
      <c r="I205" s="160"/>
      <c r="L205" s="155"/>
      <c r="M205" s="161"/>
      <c r="T205" s="162"/>
      <c r="AT205" s="157" t="s">
        <v>195</v>
      </c>
      <c r="AU205" s="157" t="s">
        <v>20</v>
      </c>
      <c r="AV205" s="12" t="s">
        <v>20</v>
      </c>
      <c r="AW205" s="12" t="s">
        <v>37</v>
      </c>
      <c r="AX205" s="12" t="s">
        <v>88</v>
      </c>
      <c r="AY205" s="157" t="s">
        <v>184</v>
      </c>
    </row>
    <row r="206" spans="2:65" s="1" customFormat="1" ht="21.75" customHeight="1" x14ac:dyDescent="0.3">
      <c r="B206" s="33"/>
      <c r="C206" s="138" t="s">
        <v>376</v>
      </c>
      <c r="D206" s="138" t="s">
        <v>186</v>
      </c>
      <c r="E206" s="139" t="s">
        <v>887</v>
      </c>
      <c r="F206" s="140" t="s">
        <v>1939</v>
      </c>
      <c r="G206" s="141" t="s">
        <v>557</v>
      </c>
      <c r="H206" s="142">
        <v>42</v>
      </c>
      <c r="I206" s="143">
        <v>687.23</v>
      </c>
      <c r="J206" s="144">
        <f>ROUND(I206*H206,2)</f>
        <v>28863.66</v>
      </c>
      <c r="K206" s="140" t="s">
        <v>190</v>
      </c>
      <c r="L206" s="33"/>
      <c r="M206" s="145" t="s">
        <v>1</v>
      </c>
      <c r="N206" s="146" t="s">
        <v>47</v>
      </c>
      <c r="O206" s="147">
        <v>0.68300000000000005</v>
      </c>
      <c r="P206" s="147">
        <f>O206*H206</f>
        <v>28.686000000000003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AR206" s="149" t="s">
        <v>191</v>
      </c>
      <c r="AT206" s="149" t="s">
        <v>186</v>
      </c>
      <c r="AU206" s="149" t="s">
        <v>20</v>
      </c>
      <c r="AY206" s="18" t="s">
        <v>184</v>
      </c>
      <c r="BE206" s="150">
        <f>IF(N206="základní",J206,0)</f>
        <v>28863.66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8" t="s">
        <v>88</v>
      </c>
      <c r="BK206" s="150">
        <f>ROUND(I206*H206,2)</f>
        <v>28863.66</v>
      </c>
      <c r="BL206" s="18" t="s">
        <v>191</v>
      </c>
      <c r="BM206" s="149" t="s">
        <v>1940</v>
      </c>
    </row>
    <row r="207" spans="2:65" s="1" customFormat="1" x14ac:dyDescent="0.3">
      <c r="B207" s="33"/>
      <c r="D207" s="151" t="s">
        <v>193</v>
      </c>
      <c r="F207" s="152" t="s">
        <v>1941</v>
      </c>
      <c r="I207" s="153"/>
      <c r="L207" s="33"/>
      <c r="M207" s="154"/>
      <c r="T207" s="57"/>
      <c r="AT207" s="18" t="s">
        <v>193</v>
      </c>
      <c r="AU207" s="18" t="s">
        <v>20</v>
      </c>
    </row>
    <row r="208" spans="2:65" s="1" customFormat="1" ht="16.5" customHeight="1" x14ac:dyDescent="0.3">
      <c r="B208" s="33"/>
      <c r="C208" s="172" t="s">
        <v>385</v>
      </c>
      <c r="D208" s="172" t="s">
        <v>271</v>
      </c>
      <c r="E208" s="173" t="s">
        <v>890</v>
      </c>
      <c r="F208" s="174" t="s">
        <v>891</v>
      </c>
      <c r="G208" s="175" t="s">
        <v>557</v>
      </c>
      <c r="H208" s="176">
        <v>21</v>
      </c>
      <c r="I208" s="177">
        <v>138.08000000000001</v>
      </c>
      <c r="J208" s="178">
        <f>ROUND(I208*H208,2)</f>
        <v>2899.68</v>
      </c>
      <c r="K208" s="174" t="s">
        <v>190</v>
      </c>
      <c r="L208" s="179"/>
      <c r="M208" s="180" t="s">
        <v>1</v>
      </c>
      <c r="N208" s="181" t="s">
        <v>47</v>
      </c>
      <c r="O208" s="147">
        <v>0</v>
      </c>
      <c r="P208" s="147">
        <f>O208*H208</f>
        <v>0</v>
      </c>
      <c r="Q208" s="147">
        <v>6.9999999999999999E-4</v>
      </c>
      <c r="R208" s="147">
        <f>Q208*H208</f>
        <v>1.47E-2</v>
      </c>
      <c r="S208" s="147">
        <v>0</v>
      </c>
      <c r="T208" s="148">
        <f>S208*H208</f>
        <v>0</v>
      </c>
      <c r="AR208" s="149" t="s">
        <v>239</v>
      </c>
      <c r="AT208" s="149" t="s">
        <v>271</v>
      </c>
      <c r="AU208" s="149" t="s">
        <v>20</v>
      </c>
      <c r="AY208" s="18" t="s">
        <v>184</v>
      </c>
      <c r="BE208" s="150">
        <f>IF(N208="základní",J208,0)</f>
        <v>2899.68</v>
      </c>
      <c r="BF208" s="150">
        <f>IF(N208="snížená",J208,0)</f>
        <v>0</v>
      </c>
      <c r="BG208" s="150">
        <f>IF(N208="zákl. přenesená",J208,0)</f>
        <v>0</v>
      </c>
      <c r="BH208" s="150">
        <f>IF(N208="sníž. přenesená",J208,0)</f>
        <v>0</v>
      </c>
      <c r="BI208" s="150">
        <f>IF(N208="nulová",J208,0)</f>
        <v>0</v>
      </c>
      <c r="BJ208" s="18" t="s">
        <v>88</v>
      </c>
      <c r="BK208" s="150">
        <f>ROUND(I208*H208,2)</f>
        <v>2899.68</v>
      </c>
      <c r="BL208" s="18" t="s">
        <v>191</v>
      </c>
      <c r="BM208" s="149" t="s">
        <v>1942</v>
      </c>
    </row>
    <row r="209" spans="2:65" s="1" customFormat="1" ht="29.25" x14ac:dyDescent="0.3">
      <c r="B209" s="33"/>
      <c r="D209" s="156" t="s">
        <v>236</v>
      </c>
      <c r="F209" s="170" t="s">
        <v>1943</v>
      </c>
      <c r="I209" s="153"/>
      <c r="L209" s="33"/>
      <c r="M209" s="154"/>
      <c r="T209" s="57"/>
      <c r="AT209" s="18" t="s">
        <v>236</v>
      </c>
      <c r="AU209" s="18" t="s">
        <v>20</v>
      </c>
    </row>
    <row r="210" spans="2:65" s="1" customFormat="1" ht="16.5" customHeight="1" x14ac:dyDescent="0.3">
      <c r="B210" s="33"/>
      <c r="C210" s="172" t="s">
        <v>392</v>
      </c>
      <c r="D210" s="172" t="s">
        <v>271</v>
      </c>
      <c r="E210" s="173" t="s">
        <v>893</v>
      </c>
      <c r="F210" s="174" t="s">
        <v>894</v>
      </c>
      <c r="G210" s="175" t="s">
        <v>557</v>
      </c>
      <c r="H210" s="176">
        <v>21</v>
      </c>
      <c r="I210" s="177">
        <v>146.80000000000001</v>
      </c>
      <c r="J210" s="178">
        <f>ROUND(I210*H210,2)</f>
        <v>3082.8</v>
      </c>
      <c r="K210" s="174" t="s">
        <v>190</v>
      </c>
      <c r="L210" s="179"/>
      <c r="M210" s="180" t="s">
        <v>1</v>
      </c>
      <c r="N210" s="181" t="s">
        <v>47</v>
      </c>
      <c r="O210" s="147">
        <v>0</v>
      </c>
      <c r="P210" s="147">
        <f>O210*H210</f>
        <v>0</v>
      </c>
      <c r="Q210" s="147">
        <v>8.0000000000000004E-4</v>
      </c>
      <c r="R210" s="147">
        <f>Q210*H210</f>
        <v>1.6800000000000002E-2</v>
      </c>
      <c r="S210" s="147">
        <v>0</v>
      </c>
      <c r="T210" s="148">
        <f>S210*H210</f>
        <v>0</v>
      </c>
      <c r="AR210" s="149" t="s">
        <v>239</v>
      </c>
      <c r="AT210" s="149" t="s">
        <v>271</v>
      </c>
      <c r="AU210" s="149" t="s">
        <v>20</v>
      </c>
      <c r="AY210" s="18" t="s">
        <v>184</v>
      </c>
      <c r="BE210" s="150">
        <f>IF(N210="základní",J210,0)</f>
        <v>3082.8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8" t="s">
        <v>88</v>
      </c>
      <c r="BK210" s="150">
        <f>ROUND(I210*H210,2)</f>
        <v>3082.8</v>
      </c>
      <c r="BL210" s="18" t="s">
        <v>191</v>
      </c>
      <c r="BM210" s="149" t="s">
        <v>1944</v>
      </c>
    </row>
    <row r="211" spans="2:65" s="1" customFormat="1" ht="29.25" x14ac:dyDescent="0.3">
      <c r="B211" s="33"/>
      <c r="D211" s="156" t="s">
        <v>236</v>
      </c>
      <c r="F211" s="170" t="s">
        <v>1943</v>
      </c>
      <c r="I211" s="153"/>
      <c r="L211" s="33"/>
      <c r="M211" s="154"/>
      <c r="T211" s="57"/>
      <c r="AT211" s="18" t="s">
        <v>236</v>
      </c>
      <c r="AU211" s="18" t="s">
        <v>20</v>
      </c>
    </row>
    <row r="212" spans="2:65" s="1" customFormat="1" ht="24.2" customHeight="1" x14ac:dyDescent="0.3">
      <c r="B212" s="33"/>
      <c r="C212" s="138" t="s">
        <v>621</v>
      </c>
      <c r="D212" s="138" t="s">
        <v>186</v>
      </c>
      <c r="E212" s="139" t="s">
        <v>896</v>
      </c>
      <c r="F212" s="140" t="s">
        <v>1945</v>
      </c>
      <c r="G212" s="141" t="s">
        <v>557</v>
      </c>
      <c r="H212" s="142">
        <v>16</v>
      </c>
      <c r="I212" s="143">
        <v>916.31</v>
      </c>
      <c r="J212" s="144">
        <f>ROUND(I212*H212,2)</f>
        <v>14660.96</v>
      </c>
      <c r="K212" s="140" t="s">
        <v>190</v>
      </c>
      <c r="L212" s="33"/>
      <c r="M212" s="145" t="s">
        <v>1</v>
      </c>
      <c r="N212" s="146" t="s">
        <v>47</v>
      </c>
      <c r="O212" s="147">
        <v>1.1319999999999999</v>
      </c>
      <c r="P212" s="147">
        <f>O212*H212</f>
        <v>18.111999999999998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49" t="s">
        <v>191</v>
      </c>
      <c r="AT212" s="149" t="s">
        <v>186</v>
      </c>
      <c r="AU212" s="149" t="s">
        <v>20</v>
      </c>
      <c r="AY212" s="18" t="s">
        <v>184</v>
      </c>
      <c r="BE212" s="150">
        <f>IF(N212="základní",J212,0)</f>
        <v>14660.96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8" t="s">
        <v>88</v>
      </c>
      <c r="BK212" s="150">
        <f>ROUND(I212*H212,2)</f>
        <v>14660.96</v>
      </c>
      <c r="BL212" s="18" t="s">
        <v>191</v>
      </c>
      <c r="BM212" s="149" t="s">
        <v>1946</v>
      </c>
    </row>
    <row r="213" spans="2:65" s="1" customFormat="1" x14ac:dyDescent="0.3">
      <c r="B213" s="33"/>
      <c r="D213" s="151" t="s">
        <v>193</v>
      </c>
      <c r="F213" s="152" t="s">
        <v>899</v>
      </c>
      <c r="I213" s="153"/>
      <c r="L213" s="33"/>
      <c r="M213" s="154"/>
      <c r="T213" s="57"/>
      <c r="AT213" s="18" t="s">
        <v>193</v>
      </c>
      <c r="AU213" s="18" t="s">
        <v>20</v>
      </c>
    </row>
    <row r="214" spans="2:65" s="1" customFormat="1" ht="16.5" customHeight="1" x14ac:dyDescent="0.3">
      <c r="B214" s="33"/>
      <c r="C214" s="172" t="s">
        <v>630</v>
      </c>
      <c r="D214" s="172" t="s">
        <v>271</v>
      </c>
      <c r="E214" s="173" t="s">
        <v>917</v>
      </c>
      <c r="F214" s="174" t="s">
        <v>918</v>
      </c>
      <c r="G214" s="175" t="s">
        <v>557</v>
      </c>
      <c r="H214" s="176">
        <v>16</v>
      </c>
      <c r="I214" s="177">
        <v>6049.39</v>
      </c>
      <c r="J214" s="178">
        <f>ROUND(I214*H214,2)</f>
        <v>96790.24</v>
      </c>
      <c r="K214" s="174" t="s">
        <v>190</v>
      </c>
      <c r="L214" s="179"/>
      <c r="M214" s="180" t="s">
        <v>1</v>
      </c>
      <c r="N214" s="181" t="s">
        <v>47</v>
      </c>
      <c r="O214" s="147">
        <v>0</v>
      </c>
      <c r="P214" s="147">
        <f>O214*H214</f>
        <v>0</v>
      </c>
      <c r="Q214" s="147">
        <v>2.0899999999999998E-2</v>
      </c>
      <c r="R214" s="147">
        <f>Q214*H214</f>
        <v>0.33439999999999998</v>
      </c>
      <c r="S214" s="147">
        <v>0</v>
      </c>
      <c r="T214" s="148">
        <f>S214*H214</f>
        <v>0</v>
      </c>
      <c r="AR214" s="149" t="s">
        <v>239</v>
      </c>
      <c r="AT214" s="149" t="s">
        <v>271</v>
      </c>
      <c r="AU214" s="149" t="s">
        <v>20</v>
      </c>
      <c r="AY214" s="18" t="s">
        <v>184</v>
      </c>
      <c r="BE214" s="150">
        <f>IF(N214="základní",J214,0)</f>
        <v>96790.24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8" t="s">
        <v>88</v>
      </c>
      <c r="BK214" s="150">
        <f>ROUND(I214*H214,2)</f>
        <v>96790.24</v>
      </c>
      <c r="BL214" s="18" t="s">
        <v>191</v>
      </c>
      <c r="BM214" s="149" t="s">
        <v>1947</v>
      </c>
    </row>
    <row r="215" spans="2:65" s="1" customFormat="1" ht="19.5" x14ac:dyDescent="0.3">
      <c r="B215" s="33"/>
      <c r="D215" s="156" t="s">
        <v>236</v>
      </c>
      <c r="F215" s="170" t="s">
        <v>1948</v>
      </c>
      <c r="I215" s="153"/>
      <c r="L215" s="33"/>
      <c r="M215" s="154"/>
      <c r="T215" s="57"/>
      <c r="AT215" s="18" t="s">
        <v>236</v>
      </c>
      <c r="AU215" s="18" t="s">
        <v>20</v>
      </c>
    </row>
    <row r="216" spans="2:65" s="1" customFormat="1" ht="24.2" customHeight="1" x14ac:dyDescent="0.3">
      <c r="B216" s="33"/>
      <c r="C216" s="138" t="s">
        <v>635</v>
      </c>
      <c r="D216" s="138" t="s">
        <v>186</v>
      </c>
      <c r="E216" s="139" t="s">
        <v>922</v>
      </c>
      <c r="F216" s="140" t="s">
        <v>1949</v>
      </c>
      <c r="G216" s="141" t="s">
        <v>557</v>
      </c>
      <c r="H216" s="142">
        <v>1</v>
      </c>
      <c r="I216" s="143">
        <v>2290.7600000000002</v>
      </c>
      <c r="J216" s="144">
        <f>ROUND(I216*H216,2)</f>
        <v>2290.7600000000002</v>
      </c>
      <c r="K216" s="140" t="s">
        <v>190</v>
      </c>
      <c r="L216" s="33"/>
      <c r="M216" s="145" t="s">
        <v>1</v>
      </c>
      <c r="N216" s="146" t="s">
        <v>47</v>
      </c>
      <c r="O216" s="147">
        <v>1.639</v>
      </c>
      <c r="P216" s="147">
        <f>O216*H216</f>
        <v>1.639</v>
      </c>
      <c r="Q216" s="147">
        <v>1.0000000000000001E-5</v>
      </c>
      <c r="R216" s="147">
        <f>Q216*H216</f>
        <v>1.0000000000000001E-5</v>
      </c>
      <c r="S216" s="147">
        <v>0</v>
      </c>
      <c r="T216" s="148">
        <f>S216*H216</f>
        <v>0</v>
      </c>
      <c r="AR216" s="149" t="s">
        <v>191</v>
      </c>
      <c r="AT216" s="149" t="s">
        <v>186</v>
      </c>
      <c r="AU216" s="149" t="s">
        <v>20</v>
      </c>
      <c r="AY216" s="18" t="s">
        <v>184</v>
      </c>
      <c r="BE216" s="150">
        <f>IF(N216="základní",J216,0)</f>
        <v>2290.7600000000002</v>
      </c>
      <c r="BF216" s="150">
        <f>IF(N216="snížená",J216,0)</f>
        <v>0</v>
      </c>
      <c r="BG216" s="150">
        <f>IF(N216="zákl. přenesená",J216,0)</f>
        <v>0</v>
      </c>
      <c r="BH216" s="150">
        <f>IF(N216="sníž. přenesená",J216,0)</f>
        <v>0</v>
      </c>
      <c r="BI216" s="150">
        <f>IF(N216="nulová",J216,0)</f>
        <v>0</v>
      </c>
      <c r="BJ216" s="18" t="s">
        <v>88</v>
      </c>
      <c r="BK216" s="150">
        <f>ROUND(I216*H216,2)</f>
        <v>2290.7600000000002</v>
      </c>
      <c r="BL216" s="18" t="s">
        <v>191</v>
      </c>
      <c r="BM216" s="149" t="s">
        <v>1950</v>
      </c>
    </row>
    <row r="217" spans="2:65" s="1" customFormat="1" x14ac:dyDescent="0.3">
      <c r="B217" s="33"/>
      <c r="D217" s="151" t="s">
        <v>193</v>
      </c>
      <c r="F217" s="152" t="s">
        <v>925</v>
      </c>
      <c r="I217" s="153"/>
      <c r="L217" s="33"/>
      <c r="M217" s="154"/>
      <c r="T217" s="57"/>
      <c r="AT217" s="18" t="s">
        <v>193</v>
      </c>
      <c r="AU217" s="18" t="s">
        <v>20</v>
      </c>
    </row>
    <row r="218" spans="2:65" s="1" customFormat="1" ht="16.5" customHeight="1" x14ac:dyDescent="0.3">
      <c r="B218" s="33"/>
      <c r="C218" s="172" t="s">
        <v>642</v>
      </c>
      <c r="D218" s="172" t="s">
        <v>271</v>
      </c>
      <c r="E218" s="173" t="s">
        <v>1951</v>
      </c>
      <c r="F218" s="174" t="s">
        <v>1952</v>
      </c>
      <c r="G218" s="175" t="s">
        <v>557</v>
      </c>
      <c r="H218" s="176">
        <v>1</v>
      </c>
      <c r="I218" s="177">
        <v>1058.1300000000001</v>
      </c>
      <c r="J218" s="178">
        <f>ROUND(I218*H218,2)</f>
        <v>1058.1300000000001</v>
      </c>
      <c r="K218" s="174" t="s">
        <v>190</v>
      </c>
      <c r="L218" s="179"/>
      <c r="M218" s="180" t="s">
        <v>1</v>
      </c>
      <c r="N218" s="181" t="s">
        <v>47</v>
      </c>
      <c r="O218" s="147">
        <v>0</v>
      </c>
      <c r="P218" s="147">
        <f>O218*H218</f>
        <v>0</v>
      </c>
      <c r="Q218" s="147">
        <v>7.6699999999999997E-3</v>
      </c>
      <c r="R218" s="147">
        <f>Q218*H218</f>
        <v>7.6699999999999997E-3</v>
      </c>
      <c r="S218" s="147">
        <v>0</v>
      </c>
      <c r="T218" s="148">
        <f>S218*H218</f>
        <v>0</v>
      </c>
      <c r="AR218" s="149" t="s">
        <v>239</v>
      </c>
      <c r="AT218" s="149" t="s">
        <v>271</v>
      </c>
      <c r="AU218" s="149" t="s">
        <v>20</v>
      </c>
      <c r="AY218" s="18" t="s">
        <v>184</v>
      </c>
      <c r="BE218" s="150">
        <f>IF(N218="základní",J218,0)</f>
        <v>1058.1300000000001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8" t="s">
        <v>88</v>
      </c>
      <c r="BK218" s="150">
        <f>ROUND(I218*H218,2)</f>
        <v>1058.1300000000001</v>
      </c>
      <c r="BL218" s="18" t="s">
        <v>191</v>
      </c>
      <c r="BM218" s="149" t="s">
        <v>1953</v>
      </c>
    </row>
    <row r="219" spans="2:65" s="1" customFormat="1" ht="19.5" x14ac:dyDescent="0.3">
      <c r="B219" s="33"/>
      <c r="D219" s="156" t="s">
        <v>236</v>
      </c>
      <c r="F219" s="170" t="s">
        <v>1954</v>
      </c>
      <c r="I219" s="153"/>
      <c r="L219" s="33"/>
      <c r="M219" s="154"/>
      <c r="T219" s="57"/>
      <c r="AT219" s="18" t="s">
        <v>236</v>
      </c>
      <c r="AU219" s="18" t="s">
        <v>20</v>
      </c>
    </row>
    <row r="220" spans="2:65" s="1" customFormat="1" ht="16.5" customHeight="1" x14ac:dyDescent="0.3">
      <c r="B220" s="33"/>
      <c r="C220" s="138" t="s">
        <v>647</v>
      </c>
      <c r="D220" s="138" t="s">
        <v>186</v>
      </c>
      <c r="E220" s="139" t="s">
        <v>931</v>
      </c>
      <c r="F220" s="140" t="s">
        <v>1955</v>
      </c>
      <c r="G220" s="141" t="s">
        <v>210</v>
      </c>
      <c r="H220" s="142">
        <v>119.8</v>
      </c>
      <c r="I220" s="143">
        <v>91.63</v>
      </c>
      <c r="J220" s="144">
        <f>ROUND(I220*H220,2)</f>
        <v>10977.27</v>
      </c>
      <c r="K220" s="140" t="s">
        <v>190</v>
      </c>
      <c r="L220" s="33"/>
      <c r="M220" s="145" t="s">
        <v>1</v>
      </c>
      <c r="N220" s="146" t="s">
        <v>47</v>
      </c>
      <c r="O220" s="147">
        <v>5.5E-2</v>
      </c>
      <c r="P220" s="147">
        <f>O220*H220</f>
        <v>6.5889999999999995</v>
      </c>
      <c r="Q220" s="147">
        <v>0</v>
      </c>
      <c r="R220" s="147">
        <f>Q220*H220</f>
        <v>0</v>
      </c>
      <c r="S220" s="147">
        <v>0</v>
      </c>
      <c r="T220" s="148">
        <f>S220*H220</f>
        <v>0</v>
      </c>
      <c r="AR220" s="149" t="s">
        <v>191</v>
      </c>
      <c r="AT220" s="149" t="s">
        <v>186</v>
      </c>
      <c r="AU220" s="149" t="s">
        <v>20</v>
      </c>
      <c r="AY220" s="18" t="s">
        <v>184</v>
      </c>
      <c r="BE220" s="150">
        <f>IF(N220="základní",J220,0)</f>
        <v>10977.27</v>
      </c>
      <c r="BF220" s="150">
        <f>IF(N220="snížená",J220,0)</f>
        <v>0</v>
      </c>
      <c r="BG220" s="150">
        <f>IF(N220="zákl. přenesená",J220,0)</f>
        <v>0</v>
      </c>
      <c r="BH220" s="150">
        <f>IF(N220="sníž. přenesená",J220,0)</f>
        <v>0</v>
      </c>
      <c r="BI220" s="150">
        <f>IF(N220="nulová",J220,0)</f>
        <v>0</v>
      </c>
      <c r="BJ220" s="18" t="s">
        <v>88</v>
      </c>
      <c r="BK220" s="150">
        <f>ROUND(I220*H220,2)</f>
        <v>10977.27</v>
      </c>
      <c r="BL220" s="18" t="s">
        <v>191</v>
      </c>
      <c r="BM220" s="149" t="s">
        <v>1956</v>
      </c>
    </row>
    <row r="221" spans="2:65" s="1" customFormat="1" x14ac:dyDescent="0.3">
      <c r="B221" s="33"/>
      <c r="D221" s="151" t="s">
        <v>193</v>
      </c>
      <c r="F221" s="152" t="s">
        <v>934</v>
      </c>
      <c r="I221" s="153"/>
      <c r="L221" s="33"/>
      <c r="M221" s="154"/>
      <c r="T221" s="57"/>
      <c r="AT221" s="18" t="s">
        <v>193</v>
      </c>
      <c r="AU221" s="18" t="s">
        <v>20</v>
      </c>
    </row>
    <row r="222" spans="2:65" s="1" customFormat="1" ht="19.5" x14ac:dyDescent="0.3">
      <c r="B222" s="33"/>
      <c r="D222" s="156" t="s">
        <v>236</v>
      </c>
      <c r="F222" s="170" t="s">
        <v>935</v>
      </c>
      <c r="I222" s="153"/>
      <c r="L222" s="33"/>
      <c r="M222" s="154"/>
      <c r="T222" s="57"/>
      <c r="AT222" s="18" t="s">
        <v>236</v>
      </c>
      <c r="AU222" s="18" t="s">
        <v>20</v>
      </c>
    </row>
    <row r="223" spans="2:65" s="1" customFormat="1" ht="16.5" customHeight="1" x14ac:dyDescent="0.3">
      <c r="B223" s="33"/>
      <c r="C223" s="138" t="s">
        <v>650</v>
      </c>
      <c r="D223" s="138" t="s">
        <v>186</v>
      </c>
      <c r="E223" s="139" t="s">
        <v>942</v>
      </c>
      <c r="F223" s="140" t="s">
        <v>1957</v>
      </c>
      <c r="G223" s="141" t="s">
        <v>210</v>
      </c>
      <c r="H223" s="142">
        <v>193.7</v>
      </c>
      <c r="I223" s="143">
        <v>122.17</v>
      </c>
      <c r="J223" s="144">
        <f>ROUND(I223*H223,2)</f>
        <v>23664.33</v>
      </c>
      <c r="K223" s="140" t="s">
        <v>190</v>
      </c>
      <c r="L223" s="33"/>
      <c r="M223" s="145" t="s">
        <v>1</v>
      </c>
      <c r="N223" s="146" t="s">
        <v>47</v>
      </c>
      <c r="O223" s="147">
        <v>9.9000000000000005E-2</v>
      </c>
      <c r="P223" s="147">
        <f>O223*H223</f>
        <v>19.176300000000001</v>
      </c>
      <c r="Q223" s="147">
        <v>0</v>
      </c>
      <c r="R223" s="147">
        <f>Q223*H223</f>
        <v>0</v>
      </c>
      <c r="S223" s="147">
        <v>0</v>
      </c>
      <c r="T223" s="148">
        <f>S223*H223</f>
        <v>0</v>
      </c>
      <c r="AR223" s="149" t="s">
        <v>191</v>
      </c>
      <c r="AT223" s="149" t="s">
        <v>186</v>
      </c>
      <c r="AU223" s="149" t="s">
        <v>20</v>
      </c>
      <c r="AY223" s="18" t="s">
        <v>184</v>
      </c>
      <c r="BE223" s="150">
        <f>IF(N223="základní",J223,0)</f>
        <v>23664.33</v>
      </c>
      <c r="BF223" s="150">
        <f>IF(N223="snížená",J223,0)</f>
        <v>0</v>
      </c>
      <c r="BG223" s="150">
        <f>IF(N223="zákl. přenesená",J223,0)</f>
        <v>0</v>
      </c>
      <c r="BH223" s="150">
        <f>IF(N223="sníž. přenesená",J223,0)</f>
        <v>0</v>
      </c>
      <c r="BI223" s="150">
        <f>IF(N223="nulová",J223,0)</f>
        <v>0</v>
      </c>
      <c r="BJ223" s="18" t="s">
        <v>88</v>
      </c>
      <c r="BK223" s="150">
        <f>ROUND(I223*H223,2)</f>
        <v>23664.33</v>
      </c>
      <c r="BL223" s="18" t="s">
        <v>191</v>
      </c>
      <c r="BM223" s="149" t="s">
        <v>1958</v>
      </c>
    </row>
    <row r="224" spans="2:65" s="1" customFormat="1" x14ac:dyDescent="0.3">
      <c r="B224" s="33"/>
      <c r="D224" s="151" t="s">
        <v>193</v>
      </c>
      <c r="F224" s="152" t="s">
        <v>945</v>
      </c>
      <c r="I224" s="153"/>
      <c r="L224" s="33"/>
      <c r="M224" s="154"/>
      <c r="T224" s="57"/>
      <c r="AT224" s="18" t="s">
        <v>193</v>
      </c>
      <c r="AU224" s="18" t="s">
        <v>20</v>
      </c>
    </row>
    <row r="225" spans="2:65" s="1" customFormat="1" ht="19.5" x14ac:dyDescent="0.3">
      <c r="B225" s="33"/>
      <c r="D225" s="156" t="s">
        <v>236</v>
      </c>
      <c r="F225" s="170" t="s">
        <v>935</v>
      </c>
      <c r="I225" s="153"/>
      <c r="L225" s="33"/>
      <c r="M225" s="154"/>
      <c r="T225" s="57"/>
      <c r="AT225" s="18" t="s">
        <v>236</v>
      </c>
      <c r="AU225" s="18" t="s">
        <v>20</v>
      </c>
    </row>
    <row r="226" spans="2:65" s="1" customFormat="1" ht="16.5" customHeight="1" x14ac:dyDescent="0.3">
      <c r="B226" s="33"/>
      <c r="C226" s="138" t="s">
        <v>916</v>
      </c>
      <c r="D226" s="138" t="s">
        <v>186</v>
      </c>
      <c r="E226" s="139" t="s">
        <v>952</v>
      </c>
      <c r="F226" s="140" t="s">
        <v>1959</v>
      </c>
      <c r="G226" s="141" t="s">
        <v>557</v>
      </c>
      <c r="H226" s="142">
        <v>4</v>
      </c>
      <c r="I226" s="143">
        <v>6108.7</v>
      </c>
      <c r="J226" s="144">
        <f>ROUND(I226*H226,2)</f>
        <v>24434.799999999999</v>
      </c>
      <c r="K226" s="140" t="s">
        <v>190</v>
      </c>
      <c r="L226" s="33"/>
      <c r="M226" s="145" t="s">
        <v>1</v>
      </c>
      <c r="N226" s="146" t="s">
        <v>47</v>
      </c>
      <c r="O226" s="147">
        <v>5.0730000000000004</v>
      </c>
      <c r="P226" s="147">
        <f>O226*H226</f>
        <v>20.292000000000002</v>
      </c>
      <c r="Q226" s="147">
        <v>0.41488999999999998</v>
      </c>
      <c r="R226" s="147">
        <f>Q226*H226</f>
        <v>1.6595599999999999</v>
      </c>
      <c r="S226" s="147">
        <v>0</v>
      </c>
      <c r="T226" s="148">
        <f>S226*H226</f>
        <v>0</v>
      </c>
      <c r="AR226" s="149" t="s">
        <v>191</v>
      </c>
      <c r="AT226" s="149" t="s">
        <v>186</v>
      </c>
      <c r="AU226" s="149" t="s">
        <v>20</v>
      </c>
      <c r="AY226" s="18" t="s">
        <v>184</v>
      </c>
      <c r="BE226" s="150">
        <f>IF(N226="základní",J226,0)</f>
        <v>24434.799999999999</v>
      </c>
      <c r="BF226" s="150">
        <f>IF(N226="snížená",J226,0)</f>
        <v>0</v>
      </c>
      <c r="BG226" s="150">
        <f>IF(N226="zákl. přenesená",J226,0)</f>
        <v>0</v>
      </c>
      <c r="BH226" s="150">
        <f>IF(N226="sníž. přenesená",J226,0)</f>
        <v>0</v>
      </c>
      <c r="BI226" s="150">
        <f>IF(N226="nulová",J226,0)</f>
        <v>0</v>
      </c>
      <c r="BJ226" s="18" t="s">
        <v>88</v>
      </c>
      <c r="BK226" s="150">
        <f>ROUND(I226*H226,2)</f>
        <v>24434.799999999999</v>
      </c>
      <c r="BL226" s="18" t="s">
        <v>191</v>
      </c>
      <c r="BM226" s="149" t="s">
        <v>1960</v>
      </c>
    </row>
    <row r="227" spans="2:65" s="1" customFormat="1" x14ac:dyDescent="0.3">
      <c r="B227" s="33"/>
      <c r="D227" s="151" t="s">
        <v>193</v>
      </c>
      <c r="F227" s="152" t="s">
        <v>955</v>
      </c>
      <c r="I227" s="153"/>
      <c r="L227" s="33"/>
      <c r="M227" s="154"/>
      <c r="T227" s="57"/>
      <c r="AT227" s="18" t="s">
        <v>193</v>
      </c>
      <c r="AU227" s="18" t="s">
        <v>20</v>
      </c>
    </row>
    <row r="228" spans="2:65" s="1" customFormat="1" ht="16.5" customHeight="1" x14ac:dyDescent="0.3">
      <c r="B228" s="33"/>
      <c r="C228" s="172" t="s">
        <v>921</v>
      </c>
      <c r="D228" s="172" t="s">
        <v>271</v>
      </c>
      <c r="E228" s="173" t="s">
        <v>957</v>
      </c>
      <c r="F228" s="174" t="s">
        <v>958</v>
      </c>
      <c r="G228" s="175" t="s">
        <v>557</v>
      </c>
      <c r="H228" s="176">
        <v>4</v>
      </c>
      <c r="I228" s="177">
        <v>14669</v>
      </c>
      <c r="J228" s="178">
        <f>ROUND(I228*H228,2)</f>
        <v>58676</v>
      </c>
      <c r="K228" s="174" t="s">
        <v>190</v>
      </c>
      <c r="L228" s="179"/>
      <c r="M228" s="180" t="s">
        <v>1</v>
      </c>
      <c r="N228" s="181" t="s">
        <v>47</v>
      </c>
      <c r="O228" s="147">
        <v>0</v>
      </c>
      <c r="P228" s="147">
        <f>O228*H228</f>
        <v>0</v>
      </c>
      <c r="Q228" s="147">
        <v>2.1</v>
      </c>
      <c r="R228" s="147">
        <f>Q228*H228</f>
        <v>8.4</v>
      </c>
      <c r="S228" s="147">
        <v>0</v>
      </c>
      <c r="T228" s="148">
        <f>S228*H228</f>
        <v>0</v>
      </c>
      <c r="AR228" s="149" t="s">
        <v>239</v>
      </c>
      <c r="AT228" s="149" t="s">
        <v>271</v>
      </c>
      <c r="AU228" s="149" t="s">
        <v>20</v>
      </c>
      <c r="AY228" s="18" t="s">
        <v>184</v>
      </c>
      <c r="BE228" s="150">
        <f>IF(N228="základní",J228,0)</f>
        <v>58676</v>
      </c>
      <c r="BF228" s="150">
        <f>IF(N228="snížená",J228,0)</f>
        <v>0</v>
      </c>
      <c r="BG228" s="150">
        <f>IF(N228="zákl. přenesená",J228,0)</f>
        <v>0</v>
      </c>
      <c r="BH228" s="150">
        <f>IF(N228="sníž. přenesená",J228,0)</f>
        <v>0</v>
      </c>
      <c r="BI228" s="150">
        <f>IF(N228="nulová",J228,0)</f>
        <v>0</v>
      </c>
      <c r="BJ228" s="18" t="s">
        <v>88</v>
      </c>
      <c r="BK228" s="150">
        <f>ROUND(I228*H228,2)</f>
        <v>58676</v>
      </c>
      <c r="BL228" s="18" t="s">
        <v>191</v>
      </c>
      <c r="BM228" s="149" t="s">
        <v>1961</v>
      </c>
    </row>
    <row r="229" spans="2:65" s="1" customFormat="1" ht="16.5" customHeight="1" x14ac:dyDescent="0.3">
      <c r="B229" s="33"/>
      <c r="C229" s="138" t="s">
        <v>926</v>
      </c>
      <c r="D229" s="138" t="s">
        <v>186</v>
      </c>
      <c r="E229" s="139" t="s">
        <v>961</v>
      </c>
      <c r="F229" s="140" t="s">
        <v>1962</v>
      </c>
      <c r="G229" s="141" t="s">
        <v>557</v>
      </c>
      <c r="H229" s="142">
        <v>4</v>
      </c>
      <c r="I229" s="143">
        <v>1908.97</v>
      </c>
      <c r="J229" s="144">
        <f>ROUND(I229*H229,2)</f>
        <v>7635.88</v>
      </c>
      <c r="K229" s="140" t="s">
        <v>190</v>
      </c>
      <c r="L229" s="33"/>
      <c r="M229" s="145" t="s">
        <v>1</v>
      </c>
      <c r="N229" s="146" t="s">
        <v>47</v>
      </c>
      <c r="O229" s="147">
        <v>1.5109999999999999</v>
      </c>
      <c r="P229" s="147">
        <f>O229*H229</f>
        <v>6.0439999999999996</v>
      </c>
      <c r="Q229" s="147">
        <v>9.8899999999999995E-3</v>
      </c>
      <c r="R229" s="147">
        <f>Q229*H229</f>
        <v>3.9559999999999998E-2</v>
      </c>
      <c r="S229" s="147">
        <v>0</v>
      </c>
      <c r="T229" s="148">
        <f>S229*H229</f>
        <v>0</v>
      </c>
      <c r="AR229" s="149" t="s">
        <v>191</v>
      </c>
      <c r="AT229" s="149" t="s">
        <v>186</v>
      </c>
      <c r="AU229" s="149" t="s">
        <v>20</v>
      </c>
      <c r="AY229" s="18" t="s">
        <v>184</v>
      </c>
      <c r="BE229" s="150">
        <f>IF(N229="základní",J229,0)</f>
        <v>7635.88</v>
      </c>
      <c r="BF229" s="150">
        <f>IF(N229="snížená",J229,0)</f>
        <v>0</v>
      </c>
      <c r="BG229" s="150">
        <f>IF(N229="zákl. přenesená",J229,0)</f>
        <v>0</v>
      </c>
      <c r="BH229" s="150">
        <f>IF(N229="sníž. přenesená",J229,0)</f>
        <v>0</v>
      </c>
      <c r="BI229" s="150">
        <f>IF(N229="nulová",J229,0)</f>
        <v>0</v>
      </c>
      <c r="BJ229" s="18" t="s">
        <v>88</v>
      </c>
      <c r="BK229" s="150">
        <f>ROUND(I229*H229,2)</f>
        <v>7635.88</v>
      </c>
      <c r="BL229" s="18" t="s">
        <v>191</v>
      </c>
      <c r="BM229" s="149" t="s">
        <v>1963</v>
      </c>
    </row>
    <row r="230" spans="2:65" s="1" customFormat="1" x14ac:dyDescent="0.3">
      <c r="B230" s="33"/>
      <c r="D230" s="151" t="s">
        <v>193</v>
      </c>
      <c r="F230" s="152" t="s">
        <v>964</v>
      </c>
      <c r="I230" s="153"/>
      <c r="L230" s="33"/>
      <c r="M230" s="154"/>
      <c r="T230" s="57"/>
      <c r="AT230" s="18" t="s">
        <v>193</v>
      </c>
      <c r="AU230" s="18" t="s">
        <v>20</v>
      </c>
    </row>
    <row r="231" spans="2:65" s="1" customFormat="1" ht="16.5" customHeight="1" x14ac:dyDescent="0.3">
      <c r="B231" s="33"/>
      <c r="C231" s="172" t="s">
        <v>27</v>
      </c>
      <c r="D231" s="172" t="s">
        <v>271</v>
      </c>
      <c r="E231" s="173" t="s">
        <v>966</v>
      </c>
      <c r="F231" s="174" t="s">
        <v>967</v>
      </c>
      <c r="G231" s="175" t="s">
        <v>557</v>
      </c>
      <c r="H231" s="176">
        <v>4</v>
      </c>
      <c r="I231" s="177">
        <v>1891.62</v>
      </c>
      <c r="J231" s="178">
        <f>ROUND(I231*H231,2)</f>
        <v>7566.48</v>
      </c>
      <c r="K231" s="174" t="s">
        <v>190</v>
      </c>
      <c r="L231" s="179"/>
      <c r="M231" s="180" t="s">
        <v>1</v>
      </c>
      <c r="N231" s="181" t="s">
        <v>47</v>
      </c>
      <c r="O231" s="147">
        <v>0</v>
      </c>
      <c r="P231" s="147">
        <f>O231*H231</f>
        <v>0</v>
      </c>
      <c r="Q231" s="147">
        <v>0.26200000000000001</v>
      </c>
      <c r="R231" s="147">
        <f>Q231*H231</f>
        <v>1.048</v>
      </c>
      <c r="S231" s="147">
        <v>0</v>
      </c>
      <c r="T231" s="148">
        <f>S231*H231</f>
        <v>0</v>
      </c>
      <c r="AR231" s="149" t="s">
        <v>239</v>
      </c>
      <c r="AT231" s="149" t="s">
        <v>271</v>
      </c>
      <c r="AU231" s="149" t="s">
        <v>20</v>
      </c>
      <c r="AY231" s="18" t="s">
        <v>184</v>
      </c>
      <c r="BE231" s="150">
        <f>IF(N231="základní",J231,0)</f>
        <v>7566.48</v>
      </c>
      <c r="BF231" s="150">
        <f>IF(N231="snížená",J231,0)</f>
        <v>0</v>
      </c>
      <c r="BG231" s="150">
        <f>IF(N231="zákl. přenesená",J231,0)</f>
        <v>0</v>
      </c>
      <c r="BH231" s="150">
        <f>IF(N231="sníž. přenesená",J231,0)</f>
        <v>0</v>
      </c>
      <c r="BI231" s="150">
        <f>IF(N231="nulová",J231,0)</f>
        <v>0</v>
      </c>
      <c r="BJ231" s="18" t="s">
        <v>88</v>
      </c>
      <c r="BK231" s="150">
        <f>ROUND(I231*H231,2)</f>
        <v>7566.48</v>
      </c>
      <c r="BL231" s="18" t="s">
        <v>191</v>
      </c>
      <c r="BM231" s="149" t="s">
        <v>1964</v>
      </c>
    </row>
    <row r="232" spans="2:65" s="1" customFormat="1" ht="16.5" customHeight="1" x14ac:dyDescent="0.3">
      <c r="B232" s="33"/>
      <c r="C232" s="138" t="s">
        <v>936</v>
      </c>
      <c r="D232" s="138" t="s">
        <v>186</v>
      </c>
      <c r="E232" s="139" t="s">
        <v>974</v>
      </c>
      <c r="F232" s="140" t="s">
        <v>1965</v>
      </c>
      <c r="G232" s="141" t="s">
        <v>557</v>
      </c>
      <c r="H232" s="142">
        <v>4</v>
      </c>
      <c r="I232" s="143">
        <v>2672.56</v>
      </c>
      <c r="J232" s="144">
        <f>ROUND(I232*H232,2)</f>
        <v>10690.24</v>
      </c>
      <c r="K232" s="140" t="s">
        <v>190</v>
      </c>
      <c r="L232" s="33"/>
      <c r="M232" s="145" t="s">
        <v>1</v>
      </c>
      <c r="N232" s="146" t="s">
        <v>47</v>
      </c>
      <c r="O232" s="147">
        <v>2.2029999999999998</v>
      </c>
      <c r="P232" s="147">
        <f>O232*H232</f>
        <v>8.8119999999999994</v>
      </c>
      <c r="Q232" s="147">
        <v>9.8899999999999995E-3</v>
      </c>
      <c r="R232" s="147">
        <f>Q232*H232</f>
        <v>3.9559999999999998E-2</v>
      </c>
      <c r="S232" s="147">
        <v>0</v>
      </c>
      <c r="T232" s="148">
        <f>S232*H232</f>
        <v>0</v>
      </c>
      <c r="AR232" s="149" t="s">
        <v>191</v>
      </c>
      <c r="AT232" s="149" t="s">
        <v>186</v>
      </c>
      <c r="AU232" s="149" t="s">
        <v>20</v>
      </c>
      <c r="AY232" s="18" t="s">
        <v>184</v>
      </c>
      <c r="BE232" s="150">
        <f>IF(N232="základní",J232,0)</f>
        <v>10690.24</v>
      </c>
      <c r="BF232" s="150">
        <f>IF(N232="snížená",J232,0)</f>
        <v>0</v>
      </c>
      <c r="BG232" s="150">
        <f>IF(N232="zákl. přenesená",J232,0)</f>
        <v>0</v>
      </c>
      <c r="BH232" s="150">
        <f>IF(N232="sníž. přenesená",J232,0)</f>
        <v>0</v>
      </c>
      <c r="BI232" s="150">
        <f>IF(N232="nulová",J232,0)</f>
        <v>0</v>
      </c>
      <c r="BJ232" s="18" t="s">
        <v>88</v>
      </c>
      <c r="BK232" s="150">
        <f>ROUND(I232*H232,2)</f>
        <v>10690.24</v>
      </c>
      <c r="BL232" s="18" t="s">
        <v>191</v>
      </c>
      <c r="BM232" s="149" t="s">
        <v>1966</v>
      </c>
    </row>
    <row r="233" spans="2:65" s="1" customFormat="1" x14ac:dyDescent="0.3">
      <c r="B233" s="33"/>
      <c r="D233" s="151" t="s">
        <v>193</v>
      </c>
      <c r="F233" s="152" t="s">
        <v>977</v>
      </c>
      <c r="I233" s="153"/>
      <c r="L233" s="33"/>
      <c r="M233" s="154"/>
      <c r="T233" s="57"/>
      <c r="AT233" s="18" t="s">
        <v>193</v>
      </c>
      <c r="AU233" s="18" t="s">
        <v>20</v>
      </c>
    </row>
    <row r="234" spans="2:65" s="1" customFormat="1" ht="16.5" customHeight="1" x14ac:dyDescent="0.3">
      <c r="B234" s="33"/>
      <c r="C234" s="172" t="s">
        <v>941</v>
      </c>
      <c r="D234" s="172" t="s">
        <v>271</v>
      </c>
      <c r="E234" s="173" t="s">
        <v>979</v>
      </c>
      <c r="F234" s="174" t="s">
        <v>980</v>
      </c>
      <c r="G234" s="175" t="s">
        <v>557</v>
      </c>
      <c r="H234" s="176">
        <v>4</v>
      </c>
      <c r="I234" s="177">
        <v>2487.4299999999998</v>
      </c>
      <c r="J234" s="178">
        <f t="shared" ref="J234:J239" si="0">ROUND(I234*H234,2)</f>
        <v>9949.7199999999993</v>
      </c>
      <c r="K234" s="174" t="s">
        <v>190</v>
      </c>
      <c r="L234" s="179"/>
      <c r="M234" s="180" t="s">
        <v>1</v>
      </c>
      <c r="N234" s="181" t="s">
        <v>47</v>
      </c>
      <c r="O234" s="147">
        <v>0</v>
      </c>
      <c r="P234" s="147">
        <f t="shared" ref="P234:P239" si="1">O234*H234</f>
        <v>0</v>
      </c>
      <c r="Q234" s="147">
        <v>0.52600000000000002</v>
      </c>
      <c r="R234" s="147">
        <f t="shared" ref="R234:R239" si="2">Q234*H234</f>
        <v>2.1040000000000001</v>
      </c>
      <c r="S234" s="147">
        <v>0</v>
      </c>
      <c r="T234" s="148">
        <f t="shared" ref="T234:T239" si="3">S234*H234</f>
        <v>0</v>
      </c>
      <c r="AR234" s="149" t="s">
        <v>239</v>
      </c>
      <c r="AT234" s="149" t="s">
        <v>271</v>
      </c>
      <c r="AU234" s="149" t="s">
        <v>20</v>
      </c>
      <c r="AY234" s="18" t="s">
        <v>184</v>
      </c>
      <c r="BE234" s="150">
        <f t="shared" ref="BE234:BE239" si="4">IF(N234="základní",J234,0)</f>
        <v>9949.7199999999993</v>
      </c>
      <c r="BF234" s="150">
        <f t="shared" ref="BF234:BF239" si="5">IF(N234="snížená",J234,0)</f>
        <v>0</v>
      </c>
      <c r="BG234" s="150">
        <f t="shared" ref="BG234:BG239" si="6">IF(N234="zákl. přenesená",J234,0)</f>
        <v>0</v>
      </c>
      <c r="BH234" s="150">
        <f t="shared" ref="BH234:BH239" si="7">IF(N234="sníž. přenesená",J234,0)</f>
        <v>0</v>
      </c>
      <c r="BI234" s="150">
        <f t="shared" ref="BI234:BI239" si="8">IF(N234="nulová",J234,0)</f>
        <v>0</v>
      </c>
      <c r="BJ234" s="18" t="s">
        <v>88</v>
      </c>
      <c r="BK234" s="150">
        <f t="shared" ref="BK234:BK239" si="9">ROUND(I234*H234,2)</f>
        <v>9949.7199999999993</v>
      </c>
      <c r="BL234" s="18" t="s">
        <v>191</v>
      </c>
      <c r="BM234" s="149" t="s">
        <v>1967</v>
      </c>
    </row>
    <row r="235" spans="2:65" s="1" customFormat="1" ht="16.5" customHeight="1" x14ac:dyDescent="0.3">
      <c r="B235" s="33"/>
      <c r="C235" s="172" t="s">
        <v>946</v>
      </c>
      <c r="D235" s="172" t="s">
        <v>271</v>
      </c>
      <c r="E235" s="173" t="s">
        <v>987</v>
      </c>
      <c r="F235" s="174" t="s">
        <v>988</v>
      </c>
      <c r="G235" s="175" t="s">
        <v>557</v>
      </c>
      <c r="H235" s="176">
        <v>2</v>
      </c>
      <c r="I235" s="177">
        <v>696.74</v>
      </c>
      <c r="J235" s="178">
        <f t="shared" si="0"/>
        <v>1393.48</v>
      </c>
      <c r="K235" s="174" t="s">
        <v>190</v>
      </c>
      <c r="L235" s="179"/>
      <c r="M235" s="180" t="s">
        <v>1</v>
      </c>
      <c r="N235" s="181" t="s">
        <v>47</v>
      </c>
      <c r="O235" s="147">
        <v>0</v>
      </c>
      <c r="P235" s="147">
        <f t="shared" si="1"/>
        <v>0</v>
      </c>
      <c r="Q235" s="147">
        <v>8.1000000000000003E-2</v>
      </c>
      <c r="R235" s="147">
        <f t="shared" si="2"/>
        <v>0.16200000000000001</v>
      </c>
      <c r="S235" s="147">
        <v>0</v>
      </c>
      <c r="T235" s="148">
        <f t="shared" si="3"/>
        <v>0</v>
      </c>
      <c r="AR235" s="149" t="s">
        <v>239</v>
      </c>
      <c r="AT235" s="149" t="s">
        <v>271</v>
      </c>
      <c r="AU235" s="149" t="s">
        <v>20</v>
      </c>
      <c r="AY235" s="18" t="s">
        <v>184</v>
      </c>
      <c r="BE235" s="150">
        <f t="shared" si="4"/>
        <v>1393.48</v>
      </c>
      <c r="BF235" s="150">
        <f t="shared" si="5"/>
        <v>0</v>
      </c>
      <c r="BG235" s="150">
        <f t="shared" si="6"/>
        <v>0</v>
      </c>
      <c r="BH235" s="150">
        <f t="shared" si="7"/>
        <v>0</v>
      </c>
      <c r="BI235" s="150">
        <f t="shared" si="8"/>
        <v>0</v>
      </c>
      <c r="BJ235" s="18" t="s">
        <v>88</v>
      </c>
      <c r="BK235" s="150">
        <f t="shared" si="9"/>
        <v>1393.48</v>
      </c>
      <c r="BL235" s="18" t="s">
        <v>191</v>
      </c>
      <c r="BM235" s="149" t="s">
        <v>1968</v>
      </c>
    </row>
    <row r="236" spans="2:65" s="1" customFormat="1" ht="16.5" customHeight="1" x14ac:dyDescent="0.3">
      <c r="B236" s="33"/>
      <c r="C236" s="172" t="s">
        <v>951</v>
      </c>
      <c r="D236" s="172" t="s">
        <v>271</v>
      </c>
      <c r="E236" s="173" t="s">
        <v>970</v>
      </c>
      <c r="F236" s="174" t="s">
        <v>971</v>
      </c>
      <c r="G236" s="175" t="s">
        <v>557</v>
      </c>
      <c r="H236" s="176">
        <v>1</v>
      </c>
      <c r="I236" s="177">
        <v>496.51</v>
      </c>
      <c r="J236" s="178">
        <f t="shared" si="0"/>
        <v>496.51</v>
      </c>
      <c r="K236" s="174" t="s">
        <v>190</v>
      </c>
      <c r="L236" s="179"/>
      <c r="M236" s="180" t="s">
        <v>1</v>
      </c>
      <c r="N236" s="181" t="s">
        <v>47</v>
      </c>
      <c r="O236" s="147">
        <v>0</v>
      </c>
      <c r="P236" s="147">
        <f t="shared" si="1"/>
        <v>0</v>
      </c>
      <c r="Q236" s="147">
        <v>5.2999999999999999E-2</v>
      </c>
      <c r="R236" s="147">
        <f t="shared" si="2"/>
        <v>5.2999999999999999E-2</v>
      </c>
      <c r="S236" s="147">
        <v>0</v>
      </c>
      <c r="T236" s="148">
        <f t="shared" si="3"/>
        <v>0</v>
      </c>
      <c r="AR236" s="149" t="s">
        <v>239</v>
      </c>
      <c r="AT236" s="149" t="s">
        <v>271</v>
      </c>
      <c r="AU236" s="149" t="s">
        <v>20</v>
      </c>
      <c r="AY236" s="18" t="s">
        <v>184</v>
      </c>
      <c r="BE236" s="150">
        <f t="shared" si="4"/>
        <v>496.51</v>
      </c>
      <c r="BF236" s="150">
        <f t="shared" si="5"/>
        <v>0</v>
      </c>
      <c r="BG236" s="150">
        <f t="shared" si="6"/>
        <v>0</v>
      </c>
      <c r="BH236" s="150">
        <f t="shared" si="7"/>
        <v>0</v>
      </c>
      <c r="BI236" s="150">
        <f t="shared" si="8"/>
        <v>0</v>
      </c>
      <c r="BJ236" s="18" t="s">
        <v>88</v>
      </c>
      <c r="BK236" s="150">
        <f t="shared" si="9"/>
        <v>496.51</v>
      </c>
      <c r="BL236" s="18" t="s">
        <v>191</v>
      </c>
      <c r="BM236" s="149" t="s">
        <v>1969</v>
      </c>
    </row>
    <row r="237" spans="2:65" s="1" customFormat="1" ht="16.5" customHeight="1" x14ac:dyDescent="0.3">
      <c r="B237" s="33"/>
      <c r="C237" s="172" t="s">
        <v>956</v>
      </c>
      <c r="D237" s="172" t="s">
        <v>271</v>
      </c>
      <c r="E237" s="173" t="s">
        <v>1970</v>
      </c>
      <c r="F237" s="174" t="s">
        <v>1971</v>
      </c>
      <c r="G237" s="175" t="s">
        <v>557</v>
      </c>
      <c r="H237" s="176">
        <v>1</v>
      </c>
      <c r="I237" s="177">
        <v>449.3</v>
      </c>
      <c r="J237" s="178">
        <f t="shared" si="0"/>
        <v>449.3</v>
      </c>
      <c r="K237" s="174" t="s">
        <v>190</v>
      </c>
      <c r="L237" s="179"/>
      <c r="M237" s="180" t="s">
        <v>1</v>
      </c>
      <c r="N237" s="181" t="s">
        <v>47</v>
      </c>
      <c r="O237" s="147">
        <v>0</v>
      </c>
      <c r="P237" s="147">
        <f t="shared" si="1"/>
        <v>0</v>
      </c>
      <c r="Q237" s="147">
        <v>4.1000000000000002E-2</v>
      </c>
      <c r="R237" s="147">
        <f t="shared" si="2"/>
        <v>4.1000000000000002E-2</v>
      </c>
      <c r="S237" s="147">
        <v>0</v>
      </c>
      <c r="T237" s="148">
        <f t="shared" si="3"/>
        <v>0</v>
      </c>
      <c r="AR237" s="149" t="s">
        <v>239</v>
      </c>
      <c r="AT237" s="149" t="s">
        <v>271</v>
      </c>
      <c r="AU237" s="149" t="s">
        <v>20</v>
      </c>
      <c r="AY237" s="18" t="s">
        <v>184</v>
      </c>
      <c r="BE237" s="150">
        <f t="shared" si="4"/>
        <v>449.3</v>
      </c>
      <c r="BF237" s="150">
        <f t="shared" si="5"/>
        <v>0</v>
      </c>
      <c r="BG237" s="150">
        <f t="shared" si="6"/>
        <v>0</v>
      </c>
      <c r="BH237" s="150">
        <f t="shared" si="7"/>
        <v>0</v>
      </c>
      <c r="BI237" s="150">
        <f t="shared" si="8"/>
        <v>0</v>
      </c>
      <c r="BJ237" s="18" t="s">
        <v>88</v>
      </c>
      <c r="BK237" s="150">
        <f t="shared" si="9"/>
        <v>449.3</v>
      </c>
      <c r="BL237" s="18" t="s">
        <v>191</v>
      </c>
      <c r="BM237" s="149" t="s">
        <v>1972</v>
      </c>
    </row>
    <row r="238" spans="2:65" s="1" customFormat="1" ht="16.5" customHeight="1" x14ac:dyDescent="0.3">
      <c r="B238" s="33"/>
      <c r="C238" s="172" t="s">
        <v>960</v>
      </c>
      <c r="D238" s="172" t="s">
        <v>271</v>
      </c>
      <c r="E238" s="173" t="s">
        <v>983</v>
      </c>
      <c r="F238" s="174" t="s">
        <v>984</v>
      </c>
      <c r="G238" s="175" t="s">
        <v>557</v>
      </c>
      <c r="H238" s="176">
        <v>1</v>
      </c>
      <c r="I238" s="177">
        <v>354.88</v>
      </c>
      <c r="J238" s="178">
        <f t="shared" si="0"/>
        <v>354.88</v>
      </c>
      <c r="K238" s="174" t="s">
        <v>190</v>
      </c>
      <c r="L238" s="179"/>
      <c r="M238" s="180" t="s">
        <v>1</v>
      </c>
      <c r="N238" s="181" t="s">
        <v>47</v>
      </c>
      <c r="O238" s="147">
        <v>0</v>
      </c>
      <c r="P238" s="147">
        <f t="shared" si="1"/>
        <v>0</v>
      </c>
      <c r="Q238" s="147">
        <v>2.1000000000000001E-2</v>
      </c>
      <c r="R238" s="147">
        <f t="shared" si="2"/>
        <v>2.1000000000000001E-2</v>
      </c>
      <c r="S238" s="147">
        <v>0</v>
      </c>
      <c r="T238" s="148">
        <f t="shared" si="3"/>
        <v>0</v>
      </c>
      <c r="AR238" s="149" t="s">
        <v>239</v>
      </c>
      <c r="AT238" s="149" t="s">
        <v>271</v>
      </c>
      <c r="AU238" s="149" t="s">
        <v>20</v>
      </c>
      <c r="AY238" s="18" t="s">
        <v>184</v>
      </c>
      <c r="BE238" s="150">
        <f t="shared" si="4"/>
        <v>354.88</v>
      </c>
      <c r="BF238" s="150">
        <f t="shared" si="5"/>
        <v>0</v>
      </c>
      <c r="BG238" s="150">
        <f t="shared" si="6"/>
        <v>0</v>
      </c>
      <c r="BH238" s="150">
        <f t="shared" si="7"/>
        <v>0</v>
      </c>
      <c r="BI238" s="150">
        <f t="shared" si="8"/>
        <v>0</v>
      </c>
      <c r="BJ238" s="18" t="s">
        <v>88</v>
      </c>
      <c r="BK238" s="150">
        <f t="shared" si="9"/>
        <v>354.88</v>
      </c>
      <c r="BL238" s="18" t="s">
        <v>191</v>
      </c>
      <c r="BM238" s="149" t="s">
        <v>1973</v>
      </c>
    </row>
    <row r="239" spans="2:65" s="1" customFormat="1" ht="16.5" customHeight="1" x14ac:dyDescent="0.3">
      <c r="B239" s="33"/>
      <c r="C239" s="138" t="s">
        <v>965</v>
      </c>
      <c r="D239" s="138" t="s">
        <v>186</v>
      </c>
      <c r="E239" s="139" t="s">
        <v>991</v>
      </c>
      <c r="F239" s="140" t="s">
        <v>1974</v>
      </c>
      <c r="G239" s="141" t="s">
        <v>557</v>
      </c>
      <c r="H239" s="142">
        <v>4</v>
      </c>
      <c r="I239" s="143">
        <v>3054.35</v>
      </c>
      <c r="J239" s="144">
        <f t="shared" si="0"/>
        <v>12217.4</v>
      </c>
      <c r="K239" s="140" t="s">
        <v>190</v>
      </c>
      <c r="L239" s="33"/>
      <c r="M239" s="145" t="s">
        <v>1</v>
      </c>
      <c r="N239" s="146" t="s">
        <v>47</v>
      </c>
      <c r="O239" s="147">
        <v>2.2029999999999998</v>
      </c>
      <c r="P239" s="147">
        <f t="shared" si="1"/>
        <v>8.8119999999999994</v>
      </c>
      <c r="Q239" s="147">
        <v>1.218E-2</v>
      </c>
      <c r="R239" s="147">
        <f t="shared" si="2"/>
        <v>4.8719999999999999E-2</v>
      </c>
      <c r="S239" s="147">
        <v>0</v>
      </c>
      <c r="T239" s="148">
        <f t="shared" si="3"/>
        <v>0</v>
      </c>
      <c r="AR239" s="149" t="s">
        <v>191</v>
      </c>
      <c r="AT239" s="149" t="s">
        <v>186</v>
      </c>
      <c r="AU239" s="149" t="s">
        <v>20</v>
      </c>
      <c r="AY239" s="18" t="s">
        <v>184</v>
      </c>
      <c r="BE239" s="150">
        <f t="shared" si="4"/>
        <v>12217.4</v>
      </c>
      <c r="BF239" s="150">
        <f t="shared" si="5"/>
        <v>0</v>
      </c>
      <c r="BG239" s="150">
        <f t="shared" si="6"/>
        <v>0</v>
      </c>
      <c r="BH239" s="150">
        <f t="shared" si="7"/>
        <v>0</v>
      </c>
      <c r="BI239" s="150">
        <f t="shared" si="8"/>
        <v>0</v>
      </c>
      <c r="BJ239" s="18" t="s">
        <v>88</v>
      </c>
      <c r="BK239" s="150">
        <f t="shared" si="9"/>
        <v>12217.4</v>
      </c>
      <c r="BL239" s="18" t="s">
        <v>191</v>
      </c>
      <c r="BM239" s="149" t="s">
        <v>1975</v>
      </c>
    </row>
    <row r="240" spans="2:65" s="1" customFormat="1" x14ac:dyDescent="0.3">
      <c r="B240" s="33"/>
      <c r="D240" s="151" t="s">
        <v>193</v>
      </c>
      <c r="F240" s="152" t="s">
        <v>994</v>
      </c>
      <c r="I240" s="153"/>
      <c r="L240" s="33"/>
      <c r="M240" s="154"/>
      <c r="T240" s="57"/>
      <c r="AT240" s="18" t="s">
        <v>193</v>
      </c>
      <c r="AU240" s="18" t="s">
        <v>20</v>
      </c>
    </row>
    <row r="241" spans="2:65" s="1" customFormat="1" ht="16.5" customHeight="1" x14ac:dyDescent="0.3">
      <c r="B241" s="33"/>
      <c r="C241" s="172" t="s">
        <v>969</v>
      </c>
      <c r="D241" s="172" t="s">
        <v>271</v>
      </c>
      <c r="E241" s="173" t="s">
        <v>996</v>
      </c>
      <c r="F241" s="174" t="s">
        <v>997</v>
      </c>
      <c r="G241" s="175" t="s">
        <v>557</v>
      </c>
      <c r="H241" s="176">
        <v>4</v>
      </c>
      <c r="I241" s="177">
        <v>3311.15</v>
      </c>
      <c r="J241" s="178">
        <f>ROUND(I241*H241,2)</f>
        <v>13244.6</v>
      </c>
      <c r="K241" s="174" t="s">
        <v>190</v>
      </c>
      <c r="L241" s="179"/>
      <c r="M241" s="180" t="s">
        <v>1</v>
      </c>
      <c r="N241" s="181" t="s">
        <v>47</v>
      </c>
      <c r="O241" s="147">
        <v>0</v>
      </c>
      <c r="P241" s="147">
        <f>O241*H241</f>
        <v>0</v>
      </c>
      <c r="Q241" s="147">
        <v>0.58499999999999996</v>
      </c>
      <c r="R241" s="147">
        <f>Q241*H241</f>
        <v>2.34</v>
      </c>
      <c r="S241" s="147">
        <v>0</v>
      </c>
      <c r="T241" s="148">
        <f>S241*H241</f>
        <v>0</v>
      </c>
      <c r="AR241" s="149" t="s">
        <v>239</v>
      </c>
      <c r="AT241" s="149" t="s">
        <v>271</v>
      </c>
      <c r="AU241" s="149" t="s">
        <v>20</v>
      </c>
      <c r="AY241" s="18" t="s">
        <v>184</v>
      </c>
      <c r="BE241" s="150">
        <f>IF(N241="základní",J241,0)</f>
        <v>13244.6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8" t="s">
        <v>88</v>
      </c>
      <c r="BK241" s="150">
        <f>ROUND(I241*H241,2)</f>
        <v>13244.6</v>
      </c>
      <c r="BL241" s="18" t="s">
        <v>191</v>
      </c>
      <c r="BM241" s="149" t="s">
        <v>1976</v>
      </c>
    </row>
    <row r="242" spans="2:65" s="1" customFormat="1" ht="16.5" customHeight="1" x14ac:dyDescent="0.3">
      <c r="B242" s="33"/>
      <c r="C242" s="138" t="s">
        <v>973</v>
      </c>
      <c r="D242" s="138" t="s">
        <v>186</v>
      </c>
      <c r="E242" s="139" t="s">
        <v>1015</v>
      </c>
      <c r="F242" s="140" t="s">
        <v>1977</v>
      </c>
      <c r="G242" s="141" t="s">
        <v>557</v>
      </c>
      <c r="H242" s="142">
        <v>3</v>
      </c>
      <c r="I242" s="143">
        <v>2290.7600000000002</v>
      </c>
      <c r="J242" s="144">
        <f>ROUND(I242*H242,2)</f>
        <v>6872.28</v>
      </c>
      <c r="K242" s="140" t="s">
        <v>190</v>
      </c>
      <c r="L242" s="33"/>
      <c r="M242" s="145" t="s">
        <v>1</v>
      </c>
      <c r="N242" s="146" t="s">
        <v>47</v>
      </c>
      <c r="O242" s="147">
        <v>2.11</v>
      </c>
      <c r="P242" s="147">
        <f>O242*H242</f>
        <v>6.33</v>
      </c>
      <c r="Q242" s="147">
        <v>0.12422</v>
      </c>
      <c r="R242" s="147">
        <f>Q242*H242</f>
        <v>0.37265999999999999</v>
      </c>
      <c r="S242" s="147">
        <v>0</v>
      </c>
      <c r="T242" s="148">
        <f>S242*H242</f>
        <v>0</v>
      </c>
      <c r="AR242" s="149" t="s">
        <v>191</v>
      </c>
      <c r="AT242" s="149" t="s">
        <v>186</v>
      </c>
      <c r="AU242" s="149" t="s">
        <v>20</v>
      </c>
      <c r="AY242" s="18" t="s">
        <v>184</v>
      </c>
      <c r="BE242" s="150">
        <f>IF(N242="základní",J242,0)</f>
        <v>6872.28</v>
      </c>
      <c r="BF242" s="150">
        <f>IF(N242="snížená",J242,0)</f>
        <v>0</v>
      </c>
      <c r="BG242" s="150">
        <f>IF(N242="zákl. přenesená",J242,0)</f>
        <v>0</v>
      </c>
      <c r="BH242" s="150">
        <f>IF(N242="sníž. přenesená",J242,0)</f>
        <v>0</v>
      </c>
      <c r="BI242" s="150">
        <f>IF(N242="nulová",J242,0)</f>
        <v>0</v>
      </c>
      <c r="BJ242" s="18" t="s">
        <v>88</v>
      </c>
      <c r="BK242" s="150">
        <f>ROUND(I242*H242,2)</f>
        <v>6872.28</v>
      </c>
      <c r="BL242" s="18" t="s">
        <v>191</v>
      </c>
      <c r="BM242" s="149" t="s">
        <v>1978</v>
      </c>
    </row>
    <row r="243" spans="2:65" s="1" customFormat="1" x14ac:dyDescent="0.3">
      <c r="B243" s="33"/>
      <c r="D243" s="151" t="s">
        <v>193</v>
      </c>
      <c r="F243" s="152" t="s">
        <v>1018</v>
      </c>
      <c r="I243" s="153"/>
      <c r="L243" s="33"/>
      <c r="M243" s="154"/>
      <c r="T243" s="57"/>
      <c r="AT243" s="18" t="s">
        <v>193</v>
      </c>
      <c r="AU243" s="18" t="s">
        <v>20</v>
      </c>
    </row>
    <row r="244" spans="2:65" s="1" customFormat="1" ht="16.5" customHeight="1" x14ac:dyDescent="0.3">
      <c r="B244" s="33"/>
      <c r="C244" s="172" t="s">
        <v>978</v>
      </c>
      <c r="D244" s="172" t="s">
        <v>271</v>
      </c>
      <c r="E244" s="173" t="s">
        <v>1020</v>
      </c>
      <c r="F244" s="174" t="s">
        <v>1021</v>
      </c>
      <c r="G244" s="175" t="s">
        <v>557</v>
      </c>
      <c r="H244" s="176">
        <v>3</v>
      </c>
      <c r="I244" s="177">
        <v>1982.78</v>
      </c>
      <c r="J244" s="178">
        <f>ROUND(I244*H244,2)</f>
        <v>5948.34</v>
      </c>
      <c r="K244" s="174" t="s">
        <v>190</v>
      </c>
      <c r="L244" s="179"/>
      <c r="M244" s="180" t="s">
        <v>1</v>
      </c>
      <c r="N244" s="181" t="s">
        <v>47</v>
      </c>
      <c r="O244" s="147">
        <v>0</v>
      </c>
      <c r="P244" s="147">
        <f>O244*H244</f>
        <v>0</v>
      </c>
      <c r="Q244" s="147">
        <v>6.7000000000000004E-2</v>
      </c>
      <c r="R244" s="147">
        <f>Q244*H244</f>
        <v>0.20100000000000001</v>
      </c>
      <c r="S244" s="147">
        <v>0</v>
      </c>
      <c r="T244" s="148">
        <f>S244*H244</f>
        <v>0</v>
      </c>
      <c r="AR244" s="149" t="s">
        <v>239</v>
      </c>
      <c r="AT244" s="149" t="s">
        <v>271</v>
      </c>
      <c r="AU244" s="149" t="s">
        <v>20</v>
      </c>
      <c r="AY244" s="18" t="s">
        <v>184</v>
      </c>
      <c r="BE244" s="150">
        <f>IF(N244="základní",J244,0)</f>
        <v>5948.34</v>
      </c>
      <c r="BF244" s="150">
        <f>IF(N244="snížená",J244,0)</f>
        <v>0</v>
      </c>
      <c r="BG244" s="150">
        <f>IF(N244="zákl. přenesená",J244,0)</f>
        <v>0</v>
      </c>
      <c r="BH244" s="150">
        <f>IF(N244="sníž. přenesená",J244,0)</f>
        <v>0</v>
      </c>
      <c r="BI244" s="150">
        <f>IF(N244="nulová",J244,0)</f>
        <v>0</v>
      </c>
      <c r="BJ244" s="18" t="s">
        <v>88</v>
      </c>
      <c r="BK244" s="150">
        <f>ROUND(I244*H244,2)</f>
        <v>5948.34</v>
      </c>
      <c r="BL244" s="18" t="s">
        <v>191</v>
      </c>
      <c r="BM244" s="149" t="s">
        <v>1979</v>
      </c>
    </row>
    <row r="245" spans="2:65" s="1" customFormat="1" ht="16.5" customHeight="1" x14ac:dyDescent="0.3">
      <c r="B245" s="33"/>
      <c r="C245" s="138" t="s">
        <v>982</v>
      </c>
      <c r="D245" s="138" t="s">
        <v>186</v>
      </c>
      <c r="E245" s="139" t="s">
        <v>1024</v>
      </c>
      <c r="F245" s="140" t="s">
        <v>1980</v>
      </c>
      <c r="G245" s="141" t="s">
        <v>557</v>
      </c>
      <c r="H245" s="142">
        <v>6</v>
      </c>
      <c r="I245" s="143">
        <v>1679.89</v>
      </c>
      <c r="J245" s="144">
        <f>ROUND(I245*H245,2)</f>
        <v>10079.34</v>
      </c>
      <c r="K245" s="140" t="s">
        <v>190</v>
      </c>
      <c r="L245" s="33"/>
      <c r="M245" s="145" t="s">
        <v>1</v>
      </c>
      <c r="N245" s="146" t="s">
        <v>47</v>
      </c>
      <c r="O245" s="147">
        <v>1.998</v>
      </c>
      <c r="P245" s="147">
        <f>O245*H245</f>
        <v>11.988</v>
      </c>
      <c r="Q245" s="147">
        <v>2.972E-2</v>
      </c>
      <c r="R245" s="147">
        <f>Q245*H245</f>
        <v>0.17832000000000001</v>
      </c>
      <c r="S245" s="147">
        <v>0</v>
      </c>
      <c r="T245" s="148">
        <f>S245*H245</f>
        <v>0</v>
      </c>
      <c r="AR245" s="149" t="s">
        <v>191</v>
      </c>
      <c r="AT245" s="149" t="s">
        <v>186</v>
      </c>
      <c r="AU245" s="149" t="s">
        <v>20</v>
      </c>
      <c r="AY245" s="18" t="s">
        <v>184</v>
      </c>
      <c r="BE245" s="150">
        <f>IF(N245="základní",J245,0)</f>
        <v>10079.34</v>
      </c>
      <c r="BF245" s="150">
        <f>IF(N245="snížená",J245,0)</f>
        <v>0</v>
      </c>
      <c r="BG245" s="150">
        <f>IF(N245="zákl. přenesená",J245,0)</f>
        <v>0</v>
      </c>
      <c r="BH245" s="150">
        <f>IF(N245="sníž. přenesená",J245,0)</f>
        <v>0</v>
      </c>
      <c r="BI245" s="150">
        <f>IF(N245="nulová",J245,0)</f>
        <v>0</v>
      </c>
      <c r="BJ245" s="18" t="s">
        <v>88</v>
      </c>
      <c r="BK245" s="150">
        <f>ROUND(I245*H245,2)</f>
        <v>10079.34</v>
      </c>
      <c r="BL245" s="18" t="s">
        <v>191</v>
      </c>
      <c r="BM245" s="149" t="s">
        <v>1981</v>
      </c>
    </row>
    <row r="246" spans="2:65" s="1" customFormat="1" x14ac:dyDescent="0.3">
      <c r="B246" s="33"/>
      <c r="D246" s="151" t="s">
        <v>193</v>
      </c>
      <c r="F246" s="152" t="s">
        <v>1027</v>
      </c>
      <c r="I246" s="153"/>
      <c r="L246" s="33"/>
      <c r="M246" s="154"/>
      <c r="T246" s="57"/>
      <c r="AT246" s="18" t="s">
        <v>193</v>
      </c>
      <c r="AU246" s="18" t="s">
        <v>20</v>
      </c>
    </row>
    <row r="247" spans="2:65" s="1" customFormat="1" ht="16.5" customHeight="1" x14ac:dyDescent="0.3">
      <c r="B247" s="33"/>
      <c r="C247" s="172" t="s">
        <v>986</v>
      </c>
      <c r="D247" s="172" t="s">
        <v>271</v>
      </c>
      <c r="E247" s="173" t="s">
        <v>1029</v>
      </c>
      <c r="F247" s="174" t="s">
        <v>1030</v>
      </c>
      <c r="G247" s="175" t="s">
        <v>557</v>
      </c>
      <c r="H247" s="176">
        <v>3</v>
      </c>
      <c r="I247" s="177">
        <v>519.29999999999995</v>
      </c>
      <c r="J247" s="178">
        <f>ROUND(I247*H247,2)</f>
        <v>1557.9</v>
      </c>
      <c r="K247" s="174" t="s">
        <v>190</v>
      </c>
      <c r="L247" s="179"/>
      <c r="M247" s="180" t="s">
        <v>1</v>
      </c>
      <c r="N247" s="181" t="s">
        <v>47</v>
      </c>
      <c r="O247" s="147">
        <v>0</v>
      </c>
      <c r="P247" s="147">
        <f>O247*H247</f>
        <v>0</v>
      </c>
      <c r="Q247" s="147">
        <v>0.112</v>
      </c>
      <c r="R247" s="147">
        <f>Q247*H247</f>
        <v>0.33600000000000002</v>
      </c>
      <c r="S247" s="147">
        <v>0</v>
      </c>
      <c r="T247" s="148">
        <f>S247*H247</f>
        <v>0</v>
      </c>
      <c r="AR247" s="149" t="s">
        <v>239</v>
      </c>
      <c r="AT247" s="149" t="s">
        <v>271</v>
      </c>
      <c r="AU247" s="149" t="s">
        <v>20</v>
      </c>
      <c r="AY247" s="18" t="s">
        <v>184</v>
      </c>
      <c r="BE247" s="150">
        <f>IF(N247="základní",J247,0)</f>
        <v>1557.9</v>
      </c>
      <c r="BF247" s="150">
        <f>IF(N247="snížená",J247,0)</f>
        <v>0</v>
      </c>
      <c r="BG247" s="150">
        <f>IF(N247="zákl. přenesená",J247,0)</f>
        <v>0</v>
      </c>
      <c r="BH247" s="150">
        <f>IF(N247="sníž. přenesená",J247,0)</f>
        <v>0</v>
      </c>
      <c r="BI247" s="150">
        <f>IF(N247="nulová",J247,0)</f>
        <v>0</v>
      </c>
      <c r="BJ247" s="18" t="s">
        <v>88</v>
      </c>
      <c r="BK247" s="150">
        <f>ROUND(I247*H247,2)</f>
        <v>1557.9</v>
      </c>
      <c r="BL247" s="18" t="s">
        <v>191</v>
      </c>
      <c r="BM247" s="149" t="s">
        <v>1982</v>
      </c>
    </row>
    <row r="248" spans="2:65" s="1" customFormat="1" ht="16.5" customHeight="1" x14ac:dyDescent="0.3">
      <c r="B248" s="33"/>
      <c r="C248" s="172" t="s">
        <v>990</v>
      </c>
      <c r="D248" s="172" t="s">
        <v>271</v>
      </c>
      <c r="E248" s="173" t="s">
        <v>1033</v>
      </c>
      <c r="F248" s="174" t="s">
        <v>1034</v>
      </c>
      <c r="G248" s="175" t="s">
        <v>557</v>
      </c>
      <c r="H248" s="176">
        <v>3</v>
      </c>
      <c r="I248" s="177">
        <v>307.67</v>
      </c>
      <c r="J248" s="178">
        <f>ROUND(I248*H248,2)</f>
        <v>923.01</v>
      </c>
      <c r="K248" s="174" t="s">
        <v>190</v>
      </c>
      <c r="L248" s="179"/>
      <c r="M248" s="180" t="s">
        <v>1</v>
      </c>
      <c r="N248" s="181" t="s">
        <v>47</v>
      </c>
      <c r="O248" s="147">
        <v>0</v>
      </c>
      <c r="P248" s="147">
        <f>O248*H248</f>
        <v>0</v>
      </c>
      <c r="Q248" s="147">
        <v>2.7E-2</v>
      </c>
      <c r="R248" s="147">
        <f>Q248*H248</f>
        <v>8.1000000000000003E-2</v>
      </c>
      <c r="S248" s="147">
        <v>0</v>
      </c>
      <c r="T248" s="148">
        <f>S248*H248</f>
        <v>0</v>
      </c>
      <c r="AR248" s="149" t="s">
        <v>239</v>
      </c>
      <c r="AT248" s="149" t="s">
        <v>271</v>
      </c>
      <c r="AU248" s="149" t="s">
        <v>20</v>
      </c>
      <c r="AY248" s="18" t="s">
        <v>184</v>
      </c>
      <c r="BE248" s="150">
        <f>IF(N248="základní",J248,0)</f>
        <v>923.01</v>
      </c>
      <c r="BF248" s="150">
        <f>IF(N248="snížená",J248,0)</f>
        <v>0</v>
      </c>
      <c r="BG248" s="150">
        <f>IF(N248="zákl. přenesená",J248,0)</f>
        <v>0</v>
      </c>
      <c r="BH248" s="150">
        <f>IF(N248="sníž. přenesená",J248,0)</f>
        <v>0</v>
      </c>
      <c r="BI248" s="150">
        <f>IF(N248="nulová",J248,0)</f>
        <v>0</v>
      </c>
      <c r="BJ248" s="18" t="s">
        <v>88</v>
      </c>
      <c r="BK248" s="150">
        <f>ROUND(I248*H248,2)</f>
        <v>923.01</v>
      </c>
      <c r="BL248" s="18" t="s">
        <v>191</v>
      </c>
      <c r="BM248" s="149" t="s">
        <v>1983</v>
      </c>
    </row>
    <row r="249" spans="2:65" s="1" customFormat="1" ht="16.5" customHeight="1" x14ac:dyDescent="0.3">
      <c r="B249" s="33"/>
      <c r="C249" s="138" t="s">
        <v>995</v>
      </c>
      <c r="D249" s="138" t="s">
        <v>186</v>
      </c>
      <c r="E249" s="139" t="s">
        <v>1037</v>
      </c>
      <c r="F249" s="140" t="s">
        <v>1984</v>
      </c>
      <c r="G249" s="141" t="s">
        <v>557</v>
      </c>
      <c r="H249" s="142">
        <v>3</v>
      </c>
      <c r="I249" s="143">
        <v>1908.97</v>
      </c>
      <c r="J249" s="144">
        <f>ROUND(I249*H249,2)</f>
        <v>5726.91</v>
      </c>
      <c r="K249" s="140" t="s">
        <v>190</v>
      </c>
      <c r="L249" s="33"/>
      <c r="M249" s="145" t="s">
        <v>1</v>
      </c>
      <c r="N249" s="146" t="s">
        <v>47</v>
      </c>
      <c r="O249" s="147">
        <v>1.798</v>
      </c>
      <c r="P249" s="147">
        <f>O249*H249</f>
        <v>5.3940000000000001</v>
      </c>
      <c r="Q249" s="147">
        <v>2.972E-2</v>
      </c>
      <c r="R249" s="147">
        <f>Q249*H249</f>
        <v>8.9160000000000003E-2</v>
      </c>
      <c r="S249" s="147">
        <v>0</v>
      </c>
      <c r="T249" s="148">
        <f>S249*H249</f>
        <v>0</v>
      </c>
      <c r="AR249" s="149" t="s">
        <v>191</v>
      </c>
      <c r="AT249" s="149" t="s">
        <v>186</v>
      </c>
      <c r="AU249" s="149" t="s">
        <v>20</v>
      </c>
      <c r="AY249" s="18" t="s">
        <v>184</v>
      </c>
      <c r="BE249" s="150">
        <f>IF(N249="základní",J249,0)</f>
        <v>5726.91</v>
      </c>
      <c r="BF249" s="150">
        <f>IF(N249="snížená",J249,0)</f>
        <v>0</v>
      </c>
      <c r="BG249" s="150">
        <f>IF(N249="zákl. přenesená",J249,0)</f>
        <v>0</v>
      </c>
      <c r="BH249" s="150">
        <f>IF(N249="sníž. přenesená",J249,0)</f>
        <v>0</v>
      </c>
      <c r="BI249" s="150">
        <f>IF(N249="nulová",J249,0)</f>
        <v>0</v>
      </c>
      <c r="BJ249" s="18" t="s">
        <v>88</v>
      </c>
      <c r="BK249" s="150">
        <f>ROUND(I249*H249,2)</f>
        <v>5726.91</v>
      </c>
      <c r="BL249" s="18" t="s">
        <v>191</v>
      </c>
      <c r="BM249" s="149" t="s">
        <v>1985</v>
      </c>
    </row>
    <row r="250" spans="2:65" s="1" customFormat="1" x14ac:dyDescent="0.3">
      <c r="B250" s="33"/>
      <c r="D250" s="151" t="s">
        <v>193</v>
      </c>
      <c r="F250" s="152" t="s">
        <v>1040</v>
      </c>
      <c r="I250" s="153"/>
      <c r="L250" s="33"/>
      <c r="M250" s="154"/>
      <c r="T250" s="57"/>
      <c r="AT250" s="18" t="s">
        <v>193</v>
      </c>
      <c r="AU250" s="18" t="s">
        <v>20</v>
      </c>
    </row>
    <row r="251" spans="2:65" s="1" customFormat="1" ht="16.5" customHeight="1" x14ac:dyDescent="0.3">
      <c r="B251" s="33"/>
      <c r="C251" s="172" t="s">
        <v>999</v>
      </c>
      <c r="D251" s="172" t="s">
        <v>271</v>
      </c>
      <c r="E251" s="173" t="s">
        <v>1042</v>
      </c>
      <c r="F251" s="174" t="s">
        <v>1043</v>
      </c>
      <c r="G251" s="175" t="s">
        <v>557</v>
      </c>
      <c r="H251" s="176">
        <v>3</v>
      </c>
      <c r="I251" s="177">
        <v>507.9</v>
      </c>
      <c r="J251" s="178">
        <f>ROUND(I251*H251,2)</f>
        <v>1523.7</v>
      </c>
      <c r="K251" s="174" t="s">
        <v>190</v>
      </c>
      <c r="L251" s="179"/>
      <c r="M251" s="180" t="s">
        <v>1</v>
      </c>
      <c r="N251" s="181" t="s">
        <v>47</v>
      </c>
      <c r="O251" s="147">
        <v>0</v>
      </c>
      <c r="P251" s="147">
        <f>O251*H251</f>
        <v>0</v>
      </c>
      <c r="Q251" s="147">
        <v>0.09</v>
      </c>
      <c r="R251" s="147">
        <f>Q251*H251</f>
        <v>0.27</v>
      </c>
      <c r="S251" s="147">
        <v>0</v>
      </c>
      <c r="T251" s="148">
        <f>S251*H251</f>
        <v>0</v>
      </c>
      <c r="AR251" s="149" t="s">
        <v>239</v>
      </c>
      <c r="AT251" s="149" t="s">
        <v>271</v>
      </c>
      <c r="AU251" s="149" t="s">
        <v>20</v>
      </c>
      <c r="AY251" s="18" t="s">
        <v>184</v>
      </c>
      <c r="BE251" s="150">
        <f>IF(N251="základní",J251,0)</f>
        <v>1523.7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8" t="s">
        <v>88</v>
      </c>
      <c r="BK251" s="150">
        <f>ROUND(I251*H251,2)</f>
        <v>1523.7</v>
      </c>
      <c r="BL251" s="18" t="s">
        <v>191</v>
      </c>
      <c r="BM251" s="149" t="s">
        <v>1986</v>
      </c>
    </row>
    <row r="252" spans="2:65" s="1" customFormat="1" ht="16.5" customHeight="1" x14ac:dyDescent="0.3">
      <c r="B252" s="33"/>
      <c r="C252" s="138" t="s">
        <v>1004</v>
      </c>
      <c r="D252" s="138" t="s">
        <v>186</v>
      </c>
      <c r="E252" s="139" t="s">
        <v>1055</v>
      </c>
      <c r="F252" s="140" t="s">
        <v>1987</v>
      </c>
      <c r="G252" s="141" t="s">
        <v>557</v>
      </c>
      <c r="H252" s="142">
        <v>4</v>
      </c>
      <c r="I252" s="143">
        <v>5345.11</v>
      </c>
      <c r="J252" s="144">
        <f>ROUND(I252*H252,2)</f>
        <v>21380.44</v>
      </c>
      <c r="K252" s="140" t="s">
        <v>190</v>
      </c>
      <c r="L252" s="33"/>
      <c r="M252" s="145" t="s">
        <v>1</v>
      </c>
      <c r="N252" s="146" t="s">
        <v>47</v>
      </c>
      <c r="O252" s="147">
        <v>1.694</v>
      </c>
      <c r="P252" s="147">
        <f>O252*H252</f>
        <v>6.7759999999999998</v>
      </c>
      <c r="Q252" s="147">
        <v>0.21734000000000001</v>
      </c>
      <c r="R252" s="147">
        <f>Q252*H252</f>
        <v>0.86936000000000002</v>
      </c>
      <c r="S252" s="147">
        <v>0</v>
      </c>
      <c r="T252" s="148">
        <f>S252*H252</f>
        <v>0</v>
      </c>
      <c r="AR252" s="149" t="s">
        <v>191</v>
      </c>
      <c r="AT252" s="149" t="s">
        <v>186</v>
      </c>
      <c r="AU252" s="149" t="s">
        <v>20</v>
      </c>
      <c r="AY252" s="18" t="s">
        <v>184</v>
      </c>
      <c r="BE252" s="150">
        <f>IF(N252="základní",J252,0)</f>
        <v>21380.44</v>
      </c>
      <c r="BF252" s="150">
        <f>IF(N252="snížená",J252,0)</f>
        <v>0</v>
      </c>
      <c r="BG252" s="150">
        <f>IF(N252="zákl. přenesená",J252,0)</f>
        <v>0</v>
      </c>
      <c r="BH252" s="150">
        <f>IF(N252="sníž. přenesená",J252,0)</f>
        <v>0</v>
      </c>
      <c r="BI252" s="150">
        <f>IF(N252="nulová",J252,0)</f>
        <v>0</v>
      </c>
      <c r="BJ252" s="18" t="s">
        <v>88</v>
      </c>
      <c r="BK252" s="150">
        <f>ROUND(I252*H252,2)</f>
        <v>21380.44</v>
      </c>
      <c r="BL252" s="18" t="s">
        <v>191</v>
      </c>
      <c r="BM252" s="149" t="s">
        <v>1988</v>
      </c>
    </row>
    <row r="253" spans="2:65" s="1" customFormat="1" x14ac:dyDescent="0.3">
      <c r="B253" s="33"/>
      <c r="D253" s="151" t="s">
        <v>193</v>
      </c>
      <c r="F253" s="152" t="s">
        <v>1989</v>
      </c>
      <c r="I253" s="153"/>
      <c r="L253" s="33"/>
      <c r="M253" s="154"/>
      <c r="T253" s="57"/>
      <c r="AT253" s="18" t="s">
        <v>193</v>
      </c>
      <c r="AU253" s="18" t="s">
        <v>20</v>
      </c>
    </row>
    <row r="254" spans="2:65" s="1" customFormat="1" ht="16.5" customHeight="1" x14ac:dyDescent="0.3">
      <c r="B254" s="33"/>
      <c r="C254" s="172" t="s">
        <v>1008</v>
      </c>
      <c r="D254" s="172" t="s">
        <v>271</v>
      </c>
      <c r="E254" s="173" t="s">
        <v>1059</v>
      </c>
      <c r="F254" s="174" t="s">
        <v>1060</v>
      </c>
      <c r="G254" s="175" t="s">
        <v>557</v>
      </c>
      <c r="H254" s="176">
        <v>4</v>
      </c>
      <c r="I254" s="177">
        <v>934.59</v>
      </c>
      <c r="J254" s="178">
        <f>ROUND(I254*H254,2)</f>
        <v>3738.36</v>
      </c>
      <c r="K254" s="174" t="s">
        <v>190</v>
      </c>
      <c r="L254" s="179"/>
      <c r="M254" s="180" t="s">
        <v>1</v>
      </c>
      <c r="N254" s="181" t="s">
        <v>47</v>
      </c>
      <c r="O254" s="147">
        <v>0</v>
      </c>
      <c r="P254" s="147">
        <f>O254*H254</f>
        <v>0</v>
      </c>
      <c r="Q254" s="147">
        <v>1.46E-2</v>
      </c>
      <c r="R254" s="147">
        <f>Q254*H254</f>
        <v>5.8400000000000001E-2</v>
      </c>
      <c r="S254" s="147">
        <v>0</v>
      </c>
      <c r="T254" s="148">
        <f>S254*H254</f>
        <v>0</v>
      </c>
      <c r="AR254" s="149" t="s">
        <v>239</v>
      </c>
      <c r="AT254" s="149" t="s">
        <v>271</v>
      </c>
      <c r="AU254" s="149" t="s">
        <v>20</v>
      </c>
      <c r="AY254" s="18" t="s">
        <v>184</v>
      </c>
      <c r="BE254" s="150">
        <f>IF(N254="základní",J254,0)</f>
        <v>3738.36</v>
      </c>
      <c r="BF254" s="150">
        <f>IF(N254="snížená",J254,0)</f>
        <v>0</v>
      </c>
      <c r="BG254" s="150">
        <f>IF(N254="zákl. přenesená",J254,0)</f>
        <v>0</v>
      </c>
      <c r="BH254" s="150">
        <f>IF(N254="sníž. přenesená",J254,0)</f>
        <v>0</v>
      </c>
      <c r="BI254" s="150">
        <f>IF(N254="nulová",J254,0)</f>
        <v>0</v>
      </c>
      <c r="BJ254" s="18" t="s">
        <v>88</v>
      </c>
      <c r="BK254" s="150">
        <f>ROUND(I254*H254,2)</f>
        <v>3738.36</v>
      </c>
      <c r="BL254" s="18" t="s">
        <v>191</v>
      </c>
      <c r="BM254" s="149" t="s">
        <v>1990</v>
      </c>
    </row>
    <row r="255" spans="2:65" s="1" customFormat="1" ht="16.5" customHeight="1" x14ac:dyDescent="0.3">
      <c r="B255" s="33"/>
      <c r="C255" s="172" t="s">
        <v>1014</v>
      </c>
      <c r="D255" s="172" t="s">
        <v>271</v>
      </c>
      <c r="E255" s="173" t="s">
        <v>1063</v>
      </c>
      <c r="F255" s="174" t="s">
        <v>1064</v>
      </c>
      <c r="G255" s="175" t="s">
        <v>557</v>
      </c>
      <c r="H255" s="176">
        <v>4</v>
      </c>
      <c r="I255" s="177">
        <v>9501.41</v>
      </c>
      <c r="J255" s="178">
        <f>ROUND(I255*H255,2)</f>
        <v>38005.64</v>
      </c>
      <c r="K255" s="174" t="s">
        <v>190</v>
      </c>
      <c r="L255" s="179"/>
      <c r="M255" s="180" t="s">
        <v>1</v>
      </c>
      <c r="N255" s="181" t="s">
        <v>47</v>
      </c>
      <c r="O255" s="147">
        <v>0</v>
      </c>
      <c r="P255" s="147">
        <f>O255*H255</f>
        <v>0</v>
      </c>
      <c r="Q255" s="147">
        <v>0.19600000000000001</v>
      </c>
      <c r="R255" s="147">
        <f>Q255*H255</f>
        <v>0.78400000000000003</v>
      </c>
      <c r="S255" s="147">
        <v>0</v>
      </c>
      <c r="T255" s="148">
        <f>S255*H255</f>
        <v>0</v>
      </c>
      <c r="AR255" s="149" t="s">
        <v>239</v>
      </c>
      <c r="AT255" s="149" t="s">
        <v>271</v>
      </c>
      <c r="AU255" s="149" t="s">
        <v>20</v>
      </c>
      <c r="AY255" s="18" t="s">
        <v>184</v>
      </c>
      <c r="BE255" s="150">
        <f>IF(N255="základní",J255,0)</f>
        <v>38005.64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8" t="s">
        <v>88</v>
      </c>
      <c r="BK255" s="150">
        <f>ROUND(I255*H255,2)</f>
        <v>38005.64</v>
      </c>
      <c r="BL255" s="18" t="s">
        <v>191</v>
      </c>
      <c r="BM255" s="149" t="s">
        <v>1991</v>
      </c>
    </row>
    <row r="256" spans="2:65" s="1" customFormat="1" ht="16.5" customHeight="1" x14ac:dyDescent="0.3">
      <c r="B256" s="33"/>
      <c r="C256" s="138" t="s">
        <v>1019</v>
      </c>
      <c r="D256" s="138" t="s">
        <v>186</v>
      </c>
      <c r="E256" s="139" t="s">
        <v>1067</v>
      </c>
      <c r="F256" s="140" t="s">
        <v>1068</v>
      </c>
      <c r="G256" s="141" t="s">
        <v>557</v>
      </c>
      <c r="H256" s="142">
        <v>3</v>
      </c>
      <c r="I256" s="143">
        <v>2672.56</v>
      </c>
      <c r="J256" s="144">
        <f>ROUND(I256*H256,2)</f>
        <v>8017.68</v>
      </c>
      <c r="K256" s="140" t="s">
        <v>190</v>
      </c>
      <c r="L256" s="33"/>
      <c r="M256" s="145" t="s">
        <v>1</v>
      </c>
      <c r="N256" s="146" t="s">
        <v>47</v>
      </c>
      <c r="O256" s="147">
        <v>2.0640000000000001</v>
      </c>
      <c r="P256" s="147">
        <f>O256*H256</f>
        <v>6.1920000000000002</v>
      </c>
      <c r="Q256" s="147">
        <v>0.21734000000000001</v>
      </c>
      <c r="R256" s="147">
        <f>Q256*H256</f>
        <v>0.65202000000000004</v>
      </c>
      <c r="S256" s="147">
        <v>0</v>
      </c>
      <c r="T256" s="148">
        <f>S256*H256</f>
        <v>0</v>
      </c>
      <c r="AR256" s="149" t="s">
        <v>191</v>
      </c>
      <c r="AT256" s="149" t="s">
        <v>186</v>
      </c>
      <c r="AU256" s="149" t="s">
        <v>20</v>
      </c>
      <c r="AY256" s="18" t="s">
        <v>184</v>
      </c>
      <c r="BE256" s="150">
        <f>IF(N256="základní",J256,0)</f>
        <v>8017.68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8" t="s">
        <v>88</v>
      </c>
      <c r="BK256" s="150">
        <f>ROUND(I256*H256,2)</f>
        <v>8017.68</v>
      </c>
      <c r="BL256" s="18" t="s">
        <v>191</v>
      </c>
      <c r="BM256" s="149" t="s">
        <v>1992</v>
      </c>
    </row>
    <row r="257" spans="2:65" s="1" customFormat="1" x14ac:dyDescent="0.3">
      <c r="B257" s="33"/>
      <c r="D257" s="151" t="s">
        <v>193</v>
      </c>
      <c r="F257" s="152" t="s">
        <v>1993</v>
      </c>
      <c r="I257" s="153"/>
      <c r="L257" s="33"/>
      <c r="M257" s="154"/>
      <c r="T257" s="57"/>
      <c r="AT257" s="18" t="s">
        <v>193</v>
      </c>
      <c r="AU257" s="18" t="s">
        <v>20</v>
      </c>
    </row>
    <row r="258" spans="2:65" s="1" customFormat="1" ht="16.5" customHeight="1" x14ac:dyDescent="0.3">
      <c r="B258" s="33"/>
      <c r="C258" s="172" t="s">
        <v>1023</v>
      </c>
      <c r="D258" s="172" t="s">
        <v>271</v>
      </c>
      <c r="E258" s="173" t="s">
        <v>1071</v>
      </c>
      <c r="F258" s="174" t="s">
        <v>1072</v>
      </c>
      <c r="G258" s="175" t="s">
        <v>557</v>
      </c>
      <c r="H258" s="176">
        <v>3</v>
      </c>
      <c r="I258" s="177">
        <v>1156.97</v>
      </c>
      <c r="J258" s="178">
        <f>ROUND(I258*H258,2)</f>
        <v>3470.91</v>
      </c>
      <c r="K258" s="174" t="s">
        <v>190</v>
      </c>
      <c r="L258" s="179"/>
      <c r="M258" s="180" t="s">
        <v>1</v>
      </c>
      <c r="N258" s="181" t="s">
        <v>47</v>
      </c>
      <c r="O258" s="147">
        <v>0</v>
      </c>
      <c r="P258" s="147">
        <f>O258*H258</f>
        <v>0</v>
      </c>
      <c r="Q258" s="147">
        <v>3.0000000000000001E-3</v>
      </c>
      <c r="R258" s="147">
        <f>Q258*H258</f>
        <v>9.0000000000000011E-3</v>
      </c>
      <c r="S258" s="147">
        <v>0</v>
      </c>
      <c r="T258" s="148">
        <f>S258*H258</f>
        <v>0</v>
      </c>
      <c r="AR258" s="149" t="s">
        <v>239</v>
      </c>
      <c r="AT258" s="149" t="s">
        <v>271</v>
      </c>
      <c r="AU258" s="149" t="s">
        <v>20</v>
      </c>
      <c r="AY258" s="18" t="s">
        <v>184</v>
      </c>
      <c r="BE258" s="150">
        <f>IF(N258="základní",J258,0)</f>
        <v>3470.91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8" t="s">
        <v>88</v>
      </c>
      <c r="BK258" s="150">
        <f>ROUND(I258*H258,2)</f>
        <v>3470.91</v>
      </c>
      <c r="BL258" s="18" t="s">
        <v>191</v>
      </c>
      <c r="BM258" s="149" t="s">
        <v>1994</v>
      </c>
    </row>
    <row r="259" spans="2:65" s="1" customFormat="1" ht="16.5" customHeight="1" x14ac:dyDescent="0.3">
      <c r="B259" s="33"/>
      <c r="C259" s="172" t="s">
        <v>1028</v>
      </c>
      <c r="D259" s="172" t="s">
        <v>271</v>
      </c>
      <c r="E259" s="173" t="s">
        <v>1075</v>
      </c>
      <c r="F259" s="174" t="s">
        <v>1076</v>
      </c>
      <c r="G259" s="175" t="s">
        <v>557</v>
      </c>
      <c r="H259" s="176">
        <v>3</v>
      </c>
      <c r="I259" s="177">
        <v>4409.8599999999997</v>
      </c>
      <c r="J259" s="178">
        <f>ROUND(I259*H259,2)</f>
        <v>13229.58</v>
      </c>
      <c r="K259" s="174" t="s">
        <v>190</v>
      </c>
      <c r="L259" s="179"/>
      <c r="M259" s="180" t="s">
        <v>1</v>
      </c>
      <c r="N259" s="181" t="s">
        <v>47</v>
      </c>
      <c r="O259" s="147">
        <v>0</v>
      </c>
      <c r="P259" s="147">
        <f>O259*H259</f>
        <v>0</v>
      </c>
      <c r="Q259" s="147">
        <v>7.3999999999999996E-2</v>
      </c>
      <c r="R259" s="147">
        <f>Q259*H259</f>
        <v>0.22199999999999998</v>
      </c>
      <c r="S259" s="147">
        <v>0</v>
      </c>
      <c r="T259" s="148">
        <f>S259*H259</f>
        <v>0</v>
      </c>
      <c r="AR259" s="149" t="s">
        <v>239</v>
      </c>
      <c r="AT259" s="149" t="s">
        <v>271</v>
      </c>
      <c r="AU259" s="149" t="s">
        <v>20</v>
      </c>
      <c r="AY259" s="18" t="s">
        <v>184</v>
      </c>
      <c r="BE259" s="150">
        <f>IF(N259="základní",J259,0)</f>
        <v>13229.58</v>
      </c>
      <c r="BF259" s="150">
        <f>IF(N259="snížená",J259,0)</f>
        <v>0</v>
      </c>
      <c r="BG259" s="150">
        <f>IF(N259="zákl. přenesená",J259,0)</f>
        <v>0</v>
      </c>
      <c r="BH259" s="150">
        <f>IF(N259="sníž. přenesená",J259,0)</f>
        <v>0</v>
      </c>
      <c r="BI259" s="150">
        <f>IF(N259="nulová",J259,0)</f>
        <v>0</v>
      </c>
      <c r="BJ259" s="18" t="s">
        <v>88</v>
      </c>
      <c r="BK259" s="150">
        <f>ROUND(I259*H259,2)</f>
        <v>13229.58</v>
      </c>
      <c r="BL259" s="18" t="s">
        <v>191</v>
      </c>
      <c r="BM259" s="149" t="s">
        <v>1995</v>
      </c>
    </row>
    <row r="260" spans="2:65" s="1" customFormat="1" ht="16.5" customHeight="1" x14ac:dyDescent="0.3">
      <c r="B260" s="33"/>
      <c r="C260" s="138" t="s">
        <v>1032</v>
      </c>
      <c r="D260" s="138" t="s">
        <v>186</v>
      </c>
      <c r="E260" s="139" t="s">
        <v>1996</v>
      </c>
      <c r="F260" s="140" t="s">
        <v>1997</v>
      </c>
      <c r="G260" s="141" t="s">
        <v>210</v>
      </c>
      <c r="H260" s="142">
        <v>539.83600000000001</v>
      </c>
      <c r="I260" s="143">
        <v>34.880000000000003</v>
      </c>
      <c r="J260" s="144">
        <f>ROUND(I260*H260,2)</f>
        <v>18829.48</v>
      </c>
      <c r="K260" s="140" t="s">
        <v>190</v>
      </c>
      <c r="L260" s="33"/>
      <c r="M260" s="145" t="s">
        <v>1</v>
      </c>
      <c r="N260" s="146" t="s">
        <v>47</v>
      </c>
      <c r="O260" s="147">
        <v>5.3999999999999999E-2</v>
      </c>
      <c r="P260" s="147">
        <f>O260*H260</f>
        <v>29.151143999999999</v>
      </c>
      <c r="Q260" s="147">
        <v>1.9000000000000001E-4</v>
      </c>
      <c r="R260" s="147">
        <f>Q260*H260</f>
        <v>0.10256884000000001</v>
      </c>
      <c r="S260" s="147">
        <v>0</v>
      </c>
      <c r="T260" s="148">
        <f>S260*H260</f>
        <v>0</v>
      </c>
      <c r="AR260" s="149" t="s">
        <v>191</v>
      </c>
      <c r="AT260" s="149" t="s">
        <v>186</v>
      </c>
      <c r="AU260" s="149" t="s">
        <v>20</v>
      </c>
      <c r="AY260" s="18" t="s">
        <v>184</v>
      </c>
      <c r="BE260" s="150">
        <f>IF(N260="základní",J260,0)</f>
        <v>18829.48</v>
      </c>
      <c r="BF260" s="150">
        <f>IF(N260="snížená",J260,0)</f>
        <v>0</v>
      </c>
      <c r="BG260" s="150">
        <f>IF(N260="zákl. přenesená",J260,0)</f>
        <v>0</v>
      </c>
      <c r="BH260" s="150">
        <f>IF(N260="sníž. přenesená",J260,0)</f>
        <v>0</v>
      </c>
      <c r="BI260" s="150">
        <f>IF(N260="nulová",J260,0)</f>
        <v>0</v>
      </c>
      <c r="BJ260" s="18" t="s">
        <v>88</v>
      </c>
      <c r="BK260" s="150">
        <f>ROUND(I260*H260,2)</f>
        <v>18829.48</v>
      </c>
      <c r="BL260" s="18" t="s">
        <v>191</v>
      </c>
      <c r="BM260" s="149" t="s">
        <v>1998</v>
      </c>
    </row>
    <row r="261" spans="2:65" s="1" customFormat="1" x14ac:dyDescent="0.3">
      <c r="B261" s="33"/>
      <c r="D261" s="151" t="s">
        <v>193</v>
      </c>
      <c r="F261" s="152" t="s">
        <v>1999</v>
      </c>
      <c r="I261" s="153"/>
      <c r="L261" s="33"/>
      <c r="M261" s="154"/>
      <c r="T261" s="57"/>
      <c r="AT261" s="18" t="s">
        <v>193</v>
      </c>
      <c r="AU261" s="18" t="s">
        <v>20</v>
      </c>
    </row>
    <row r="262" spans="2:65" s="12" customFormat="1" ht="11.25" x14ac:dyDescent="0.3">
      <c r="B262" s="155"/>
      <c r="D262" s="156" t="s">
        <v>195</v>
      </c>
      <c r="E262" s="157" t="s">
        <v>1</v>
      </c>
      <c r="F262" s="158" t="s">
        <v>2000</v>
      </c>
      <c r="H262" s="159">
        <v>539.83600000000001</v>
      </c>
      <c r="I262" s="160"/>
      <c r="L262" s="155"/>
      <c r="M262" s="161"/>
      <c r="T262" s="162"/>
      <c r="AT262" s="157" t="s">
        <v>195</v>
      </c>
      <c r="AU262" s="157" t="s">
        <v>20</v>
      </c>
      <c r="AV262" s="12" t="s">
        <v>20</v>
      </c>
      <c r="AW262" s="12" t="s">
        <v>37</v>
      </c>
      <c r="AX262" s="12" t="s">
        <v>88</v>
      </c>
      <c r="AY262" s="157" t="s">
        <v>184</v>
      </c>
    </row>
    <row r="263" spans="2:65" s="1" customFormat="1" ht="16.5" customHeight="1" x14ac:dyDescent="0.3">
      <c r="B263" s="33"/>
      <c r="C263" s="138" t="s">
        <v>1036</v>
      </c>
      <c r="D263" s="138" t="s">
        <v>186</v>
      </c>
      <c r="E263" s="139" t="s">
        <v>2001</v>
      </c>
      <c r="F263" s="140" t="s">
        <v>2002</v>
      </c>
      <c r="G263" s="141" t="s">
        <v>210</v>
      </c>
      <c r="H263" s="142">
        <v>490.76</v>
      </c>
      <c r="I263" s="143">
        <v>11.63</v>
      </c>
      <c r="J263" s="144">
        <f>ROUND(I263*H263,2)</f>
        <v>5707.54</v>
      </c>
      <c r="K263" s="140" t="s">
        <v>190</v>
      </c>
      <c r="L263" s="33"/>
      <c r="M263" s="145" t="s">
        <v>1</v>
      </c>
      <c r="N263" s="146" t="s">
        <v>47</v>
      </c>
      <c r="O263" s="147">
        <v>2.5000000000000001E-2</v>
      </c>
      <c r="P263" s="147">
        <f>O263*H263</f>
        <v>12.269</v>
      </c>
      <c r="Q263" s="147">
        <v>9.0000000000000006E-5</v>
      </c>
      <c r="R263" s="147">
        <f>Q263*H263</f>
        <v>4.4168400000000003E-2</v>
      </c>
      <c r="S263" s="147">
        <v>0</v>
      </c>
      <c r="T263" s="148">
        <f>S263*H263</f>
        <v>0</v>
      </c>
      <c r="AR263" s="149" t="s">
        <v>191</v>
      </c>
      <c r="AT263" s="149" t="s">
        <v>186</v>
      </c>
      <c r="AU263" s="149" t="s">
        <v>20</v>
      </c>
      <c r="AY263" s="18" t="s">
        <v>184</v>
      </c>
      <c r="BE263" s="150">
        <f>IF(N263="základní",J263,0)</f>
        <v>5707.54</v>
      </c>
      <c r="BF263" s="150">
        <f>IF(N263="snížená",J263,0)</f>
        <v>0</v>
      </c>
      <c r="BG263" s="150">
        <f>IF(N263="zákl. přenesená",J263,0)</f>
        <v>0</v>
      </c>
      <c r="BH263" s="150">
        <f>IF(N263="sníž. přenesená",J263,0)</f>
        <v>0</v>
      </c>
      <c r="BI263" s="150">
        <f>IF(N263="nulová",J263,0)</f>
        <v>0</v>
      </c>
      <c r="BJ263" s="18" t="s">
        <v>88</v>
      </c>
      <c r="BK263" s="150">
        <f>ROUND(I263*H263,2)</f>
        <v>5707.54</v>
      </c>
      <c r="BL263" s="18" t="s">
        <v>191</v>
      </c>
      <c r="BM263" s="149" t="s">
        <v>2003</v>
      </c>
    </row>
    <row r="264" spans="2:65" s="1" customFormat="1" x14ac:dyDescent="0.3">
      <c r="B264" s="33"/>
      <c r="D264" s="151" t="s">
        <v>193</v>
      </c>
      <c r="F264" s="152" t="s">
        <v>2004</v>
      </c>
      <c r="I264" s="153"/>
      <c r="L264" s="33"/>
      <c r="M264" s="154"/>
      <c r="T264" s="57"/>
      <c r="AT264" s="18" t="s">
        <v>193</v>
      </c>
      <c r="AU264" s="18" t="s">
        <v>20</v>
      </c>
    </row>
    <row r="265" spans="2:65" s="11" customFormat="1" ht="22.9" customHeight="1" x14ac:dyDescent="0.2">
      <c r="B265" s="127"/>
      <c r="D265" s="128" t="s">
        <v>80</v>
      </c>
      <c r="E265" s="136" t="s">
        <v>245</v>
      </c>
      <c r="F265" s="136" t="s">
        <v>304</v>
      </c>
      <c r="I265" s="171"/>
      <c r="J265" s="137">
        <f>BK265</f>
        <v>197602.62999999995</v>
      </c>
      <c r="L265" s="127"/>
      <c r="M265" s="131"/>
      <c r="P265" s="132">
        <f>SUM(P266:P286)</f>
        <v>75.224000000000018</v>
      </c>
      <c r="R265" s="132">
        <f>SUM(R266:R286)</f>
        <v>9.0995544000000024</v>
      </c>
      <c r="T265" s="133">
        <f>SUM(T266:T286)</f>
        <v>2.0160000000000001E-2</v>
      </c>
      <c r="AR265" s="128" t="s">
        <v>88</v>
      </c>
      <c r="AT265" s="134" t="s">
        <v>80</v>
      </c>
      <c r="AU265" s="134" t="s">
        <v>88</v>
      </c>
      <c r="AY265" s="128" t="s">
        <v>184</v>
      </c>
      <c r="BK265" s="135">
        <f>SUM(BK266:BK286)</f>
        <v>197602.62999999995</v>
      </c>
    </row>
    <row r="266" spans="2:65" s="1" customFormat="1" ht="16.5" customHeight="1" x14ac:dyDescent="0.3">
      <c r="B266" s="33"/>
      <c r="C266" s="138" t="s">
        <v>1041</v>
      </c>
      <c r="D266" s="138" t="s">
        <v>186</v>
      </c>
      <c r="E266" s="139" t="s">
        <v>1079</v>
      </c>
      <c r="F266" s="140" t="s">
        <v>2005</v>
      </c>
      <c r="G266" s="141" t="s">
        <v>210</v>
      </c>
      <c r="H266" s="142">
        <v>402.8</v>
      </c>
      <c r="I266" s="143">
        <v>117.71</v>
      </c>
      <c r="J266" s="144">
        <f>ROUND(I266*H266,2)</f>
        <v>47413.59</v>
      </c>
      <c r="K266" s="140" t="s">
        <v>190</v>
      </c>
      <c r="L266" s="33"/>
      <c r="M266" s="145" t="s">
        <v>1</v>
      </c>
      <c r="N266" s="146" t="s">
        <v>47</v>
      </c>
      <c r="O266" s="147">
        <v>0.155</v>
      </c>
      <c r="P266" s="147">
        <f>O266*H266</f>
        <v>62.434000000000005</v>
      </c>
      <c r="Q266" s="147">
        <v>0</v>
      </c>
      <c r="R266" s="147">
        <f>Q266*H266</f>
        <v>0</v>
      </c>
      <c r="S266" s="147">
        <v>0</v>
      </c>
      <c r="T266" s="148">
        <f>S266*H266</f>
        <v>0</v>
      </c>
      <c r="AR266" s="149" t="s">
        <v>191</v>
      </c>
      <c r="AT266" s="149" t="s">
        <v>186</v>
      </c>
      <c r="AU266" s="149" t="s">
        <v>20</v>
      </c>
      <c r="AY266" s="18" t="s">
        <v>184</v>
      </c>
      <c r="BE266" s="150">
        <f>IF(N266="základní",J266,0)</f>
        <v>47413.59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8" t="s">
        <v>88</v>
      </c>
      <c r="BK266" s="150">
        <f>ROUND(I266*H266,2)</f>
        <v>47413.59</v>
      </c>
      <c r="BL266" s="18" t="s">
        <v>191</v>
      </c>
      <c r="BM266" s="149" t="s">
        <v>2006</v>
      </c>
    </row>
    <row r="267" spans="2:65" s="1" customFormat="1" x14ac:dyDescent="0.3">
      <c r="B267" s="33"/>
      <c r="D267" s="151" t="s">
        <v>193</v>
      </c>
      <c r="F267" s="152" t="s">
        <v>1082</v>
      </c>
      <c r="I267" s="153"/>
      <c r="L267" s="33"/>
      <c r="M267" s="154"/>
      <c r="T267" s="57"/>
      <c r="AT267" s="18" t="s">
        <v>193</v>
      </c>
      <c r="AU267" s="18" t="s">
        <v>20</v>
      </c>
    </row>
    <row r="268" spans="2:65" s="12" customFormat="1" ht="11.25" x14ac:dyDescent="0.3">
      <c r="B268" s="155"/>
      <c r="D268" s="156" t="s">
        <v>195</v>
      </c>
      <c r="E268" s="157" t="s">
        <v>1</v>
      </c>
      <c r="F268" s="158" t="s">
        <v>2007</v>
      </c>
      <c r="H268" s="159">
        <v>390</v>
      </c>
      <c r="I268" s="160"/>
      <c r="L268" s="155"/>
      <c r="M268" s="161"/>
      <c r="T268" s="162"/>
      <c r="AT268" s="157" t="s">
        <v>195</v>
      </c>
      <c r="AU268" s="157" t="s">
        <v>20</v>
      </c>
      <c r="AV268" s="12" t="s">
        <v>20</v>
      </c>
      <c r="AW268" s="12" t="s">
        <v>37</v>
      </c>
      <c r="AX268" s="12" t="s">
        <v>81</v>
      </c>
      <c r="AY268" s="157" t="s">
        <v>184</v>
      </c>
    </row>
    <row r="269" spans="2:65" s="12" customFormat="1" ht="11.25" x14ac:dyDescent="0.3">
      <c r="B269" s="155"/>
      <c r="D269" s="156" t="s">
        <v>195</v>
      </c>
      <c r="E269" s="157" t="s">
        <v>1</v>
      </c>
      <c r="F269" s="158" t="s">
        <v>2008</v>
      </c>
      <c r="H269" s="159">
        <v>12.8</v>
      </c>
      <c r="I269" s="160"/>
      <c r="L269" s="155"/>
      <c r="M269" s="161"/>
      <c r="T269" s="162"/>
      <c r="AT269" s="157" t="s">
        <v>195</v>
      </c>
      <c r="AU269" s="157" t="s">
        <v>20</v>
      </c>
      <c r="AV269" s="12" t="s">
        <v>20</v>
      </c>
      <c r="AW269" s="12" t="s">
        <v>37</v>
      </c>
      <c r="AX269" s="12" t="s">
        <v>81</v>
      </c>
      <c r="AY269" s="157" t="s">
        <v>184</v>
      </c>
    </row>
    <row r="270" spans="2:65" s="13" customFormat="1" ht="11.25" x14ac:dyDescent="0.3">
      <c r="B270" s="163"/>
      <c r="D270" s="156" t="s">
        <v>195</v>
      </c>
      <c r="E270" s="164" t="s">
        <v>1</v>
      </c>
      <c r="F270" s="165" t="s">
        <v>230</v>
      </c>
      <c r="H270" s="166">
        <v>402.8</v>
      </c>
      <c r="I270" s="167"/>
      <c r="L270" s="163"/>
      <c r="M270" s="168"/>
      <c r="T270" s="169"/>
      <c r="AT270" s="164" t="s">
        <v>195</v>
      </c>
      <c r="AU270" s="164" t="s">
        <v>20</v>
      </c>
      <c r="AV270" s="13" t="s">
        <v>191</v>
      </c>
      <c r="AW270" s="13" t="s">
        <v>37</v>
      </c>
      <c r="AX270" s="13" t="s">
        <v>88</v>
      </c>
      <c r="AY270" s="164" t="s">
        <v>184</v>
      </c>
    </row>
    <row r="271" spans="2:65" s="1" customFormat="1" ht="16.5" customHeight="1" x14ac:dyDescent="0.3">
      <c r="B271" s="33"/>
      <c r="C271" s="138" t="s">
        <v>1045</v>
      </c>
      <c r="D271" s="138" t="s">
        <v>186</v>
      </c>
      <c r="E271" s="139" t="s">
        <v>2009</v>
      </c>
      <c r="F271" s="140" t="s">
        <v>2010</v>
      </c>
      <c r="G271" s="141" t="s">
        <v>210</v>
      </c>
      <c r="H271" s="142">
        <v>2</v>
      </c>
      <c r="I271" s="143">
        <v>2290.7600000000002</v>
      </c>
      <c r="J271" s="144">
        <f>ROUND(I271*H271,2)</f>
        <v>4581.5200000000004</v>
      </c>
      <c r="K271" s="140" t="s">
        <v>190</v>
      </c>
      <c r="L271" s="33"/>
      <c r="M271" s="145" t="s">
        <v>1</v>
      </c>
      <c r="N271" s="146" t="s">
        <v>47</v>
      </c>
      <c r="O271" s="147">
        <v>0.47</v>
      </c>
      <c r="P271" s="147">
        <f>O271*H271</f>
        <v>0.94</v>
      </c>
      <c r="Q271" s="147">
        <v>0.43819000000000002</v>
      </c>
      <c r="R271" s="147">
        <f>Q271*H271</f>
        <v>0.87638000000000005</v>
      </c>
      <c r="S271" s="147">
        <v>0</v>
      </c>
      <c r="T271" s="148">
        <f>S271*H271</f>
        <v>0</v>
      </c>
      <c r="AR271" s="149" t="s">
        <v>191</v>
      </c>
      <c r="AT271" s="149" t="s">
        <v>186</v>
      </c>
      <c r="AU271" s="149" t="s">
        <v>20</v>
      </c>
      <c r="AY271" s="18" t="s">
        <v>184</v>
      </c>
      <c r="BE271" s="150">
        <f>IF(N271="základní",J271,0)</f>
        <v>4581.5200000000004</v>
      </c>
      <c r="BF271" s="150">
        <f>IF(N271="snížená",J271,0)</f>
        <v>0</v>
      </c>
      <c r="BG271" s="150">
        <f>IF(N271="zákl. přenesená",J271,0)</f>
        <v>0</v>
      </c>
      <c r="BH271" s="150">
        <f>IF(N271="sníž. přenesená",J271,0)</f>
        <v>0</v>
      </c>
      <c r="BI271" s="150">
        <f>IF(N271="nulová",J271,0)</f>
        <v>0</v>
      </c>
      <c r="BJ271" s="18" t="s">
        <v>88</v>
      </c>
      <c r="BK271" s="150">
        <f>ROUND(I271*H271,2)</f>
        <v>4581.5200000000004</v>
      </c>
      <c r="BL271" s="18" t="s">
        <v>191</v>
      </c>
      <c r="BM271" s="149" t="s">
        <v>2011</v>
      </c>
    </row>
    <row r="272" spans="2:65" s="1" customFormat="1" x14ac:dyDescent="0.3">
      <c r="B272" s="33"/>
      <c r="D272" s="151" t="s">
        <v>193</v>
      </c>
      <c r="F272" s="152" t="s">
        <v>2012</v>
      </c>
      <c r="I272" s="153"/>
      <c r="L272" s="33"/>
      <c r="M272" s="154"/>
      <c r="T272" s="57"/>
      <c r="AT272" s="18" t="s">
        <v>193</v>
      </c>
      <c r="AU272" s="18" t="s">
        <v>20</v>
      </c>
    </row>
    <row r="273" spans="2:65" s="1" customFormat="1" ht="16.5" customHeight="1" x14ac:dyDescent="0.3">
      <c r="B273" s="33"/>
      <c r="C273" s="172" t="s">
        <v>1050</v>
      </c>
      <c r="D273" s="172" t="s">
        <v>271</v>
      </c>
      <c r="E273" s="173" t="s">
        <v>2013</v>
      </c>
      <c r="F273" s="174" t="s">
        <v>2014</v>
      </c>
      <c r="G273" s="175" t="s">
        <v>210</v>
      </c>
      <c r="H273" s="176">
        <v>2</v>
      </c>
      <c r="I273" s="177">
        <v>3465.8</v>
      </c>
      <c r="J273" s="178">
        <f>ROUND(I273*H273,2)</f>
        <v>6931.6</v>
      </c>
      <c r="K273" s="174" t="s">
        <v>190</v>
      </c>
      <c r="L273" s="179"/>
      <c r="M273" s="180" t="s">
        <v>1</v>
      </c>
      <c r="N273" s="181" t="s">
        <v>47</v>
      </c>
      <c r="O273" s="147">
        <v>0</v>
      </c>
      <c r="P273" s="147">
        <f>O273*H273</f>
        <v>0</v>
      </c>
      <c r="Q273" s="147">
        <v>5.3800000000000001E-2</v>
      </c>
      <c r="R273" s="147">
        <f>Q273*H273</f>
        <v>0.1076</v>
      </c>
      <c r="S273" s="147">
        <v>0</v>
      </c>
      <c r="T273" s="148">
        <f>S273*H273</f>
        <v>0</v>
      </c>
      <c r="AR273" s="149" t="s">
        <v>239</v>
      </c>
      <c r="AT273" s="149" t="s">
        <v>271</v>
      </c>
      <c r="AU273" s="149" t="s">
        <v>20</v>
      </c>
      <c r="AY273" s="18" t="s">
        <v>184</v>
      </c>
      <c r="BE273" s="150">
        <f>IF(N273="základní",J273,0)</f>
        <v>6931.6</v>
      </c>
      <c r="BF273" s="150">
        <f>IF(N273="snížená",J273,0)</f>
        <v>0</v>
      </c>
      <c r="BG273" s="150">
        <f>IF(N273="zákl. přenesená",J273,0)</f>
        <v>0</v>
      </c>
      <c r="BH273" s="150">
        <f>IF(N273="sníž. přenesená",J273,0)</f>
        <v>0</v>
      </c>
      <c r="BI273" s="150">
        <f>IF(N273="nulová",J273,0)</f>
        <v>0</v>
      </c>
      <c r="BJ273" s="18" t="s">
        <v>88</v>
      </c>
      <c r="BK273" s="150">
        <f>ROUND(I273*H273,2)</f>
        <v>6931.6</v>
      </c>
      <c r="BL273" s="18" t="s">
        <v>191</v>
      </c>
      <c r="BM273" s="149" t="s">
        <v>2015</v>
      </c>
    </row>
    <row r="274" spans="2:65" s="1" customFormat="1" ht="16.5" customHeight="1" x14ac:dyDescent="0.3">
      <c r="B274" s="33"/>
      <c r="C274" s="138" t="s">
        <v>1054</v>
      </c>
      <c r="D274" s="138" t="s">
        <v>186</v>
      </c>
      <c r="E274" s="139" t="s">
        <v>2016</v>
      </c>
      <c r="F274" s="140" t="s">
        <v>2017</v>
      </c>
      <c r="G274" s="141" t="s">
        <v>210</v>
      </c>
      <c r="H274" s="142">
        <v>15</v>
      </c>
      <c r="I274" s="143">
        <v>2290.7600000000002</v>
      </c>
      <c r="J274" s="144">
        <f>ROUND(I274*H274,2)</f>
        <v>34361.4</v>
      </c>
      <c r="K274" s="140" t="s">
        <v>190</v>
      </c>
      <c r="L274" s="33"/>
      <c r="M274" s="145" t="s">
        <v>1</v>
      </c>
      <c r="N274" s="146" t="s">
        <v>47</v>
      </c>
      <c r="O274" s="147">
        <v>0.56999999999999995</v>
      </c>
      <c r="P274" s="147">
        <f>O274*H274</f>
        <v>8.5499999999999989</v>
      </c>
      <c r="Q274" s="147">
        <v>0.43819000000000002</v>
      </c>
      <c r="R274" s="147">
        <f>Q274*H274</f>
        <v>6.5728500000000007</v>
      </c>
      <c r="S274" s="147">
        <v>0</v>
      </c>
      <c r="T274" s="148">
        <f>S274*H274</f>
        <v>0</v>
      </c>
      <c r="AR274" s="149" t="s">
        <v>191</v>
      </c>
      <c r="AT274" s="149" t="s">
        <v>186</v>
      </c>
      <c r="AU274" s="149" t="s">
        <v>20</v>
      </c>
      <c r="AY274" s="18" t="s">
        <v>184</v>
      </c>
      <c r="BE274" s="150">
        <f>IF(N274="základní",J274,0)</f>
        <v>34361.4</v>
      </c>
      <c r="BF274" s="150">
        <f>IF(N274="snížená",J274,0)</f>
        <v>0</v>
      </c>
      <c r="BG274" s="150">
        <f>IF(N274="zákl. přenesená",J274,0)</f>
        <v>0</v>
      </c>
      <c r="BH274" s="150">
        <f>IF(N274="sníž. přenesená",J274,0)</f>
        <v>0</v>
      </c>
      <c r="BI274" s="150">
        <f>IF(N274="nulová",J274,0)</f>
        <v>0</v>
      </c>
      <c r="BJ274" s="18" t="s">
        <v>88</v>
      </c>
      <c r="BK274" s="150">
        <f>ROUND(I274*H274,2)</f>
        <v>34361.4</v>
      </c>
      <c r="BL274" s="18" t="s">
        <v>191</v>
      </c>
      <c r="BM274" s="149" t="s">
        <v>2018</v>
      </c>
    </row>
    <row r="275" spans="2:65" s="1" customFormat="1" x14ac:dyDescent="0.3">
      <c r="B275" s="33"/>
      <c r="D275" s="151" t="s">
        <v>193</v>
      </c>
      <c r="F275" s="152" t="s">
        <v>2019</v>
      </c>
      <c r="I275" s="153"/>
      <c r="L275" s="33"/>
      <c r="M275" s="154"/>
      <c r="T275" s="57"/>
      <c r="AT275" s="18" t="s">
        <v>193</v>
      </c>
      <c r="AU275" s="18" t="s">
        <v>20</v>
      </c>
    </row>
    <row r="276" spans="2:65" s="1" customFormat="1" ht="16.5" customHeight="1" x14ac:dyDescent="0.3">
      <c r="B276" s="33"/>
      <c r="C276" s="172" t="s">
        <v>1058</v>
      </c>
      <c r="D276" s="172" t="s">
        <v>271</v>
      </c>
      <c r="E276" s="173" t="s">
        <v>2020</v>
      </c>
      <c r="F276" s="174" t="s">
        <v>2021</v>
      </c>
      <c r="G276" s="175" t="s">
        <v>557</v>
      </c>
      <c r="H276" s="176">
        <v>14</v>
      </c>
      <c r="I276" s="177">
        <v>3094.46</v>
      </c>
      <c r="J276" s="178">
        <f>ROUND(I276*H276,2)</f>
        <v>43322.44</v>
      </c>
      <c r="K276" s="174" t="s">
        <v>1</v>
      </c>
      <c r="L276" s="179"/>
      <c r="M276" s="180" t="s">
        <v>1</v>
      </c>
      <c r="N276" s="181" t="s">
        <v>47</v>
      </c>
      <c r="O276" s="147">
        <v>0</v>
      </c>
      <c r="P276" s="147">
        <f>O276*H276</f>
        <v>0</v>
      </c>
      <c r="Q276" s="147">
        <v>2.2700000000000001E-2</v>
      </c>
      <c r="R276" s="147">
        <f>Q276*H276</f>
        <v>0.31780000000000003</v>
      </c>
      <c r="S276" s="147">
        <v>0</v>
      </c>
      <c r="T276" s="148">
        <f>S276*H276</f>
        <v>0</v>
      </c>
      <c r="AR276" s="149" t="s">
        <v>239</v>
      </c>
      <c r="AT276" s="149" t="s">
        <v>271</v>
      </c>
      <c r="AU276" s="149" t="s">
        <v>20</v>
      </c>
      <c r="AY276" s="18" t="s">
        <v>184</v>
      </c>
      <c r="BE276" s="150">
        <f>IF(N276="základní",J276,0)</f>
        <v>43322.44</v>
      </c>
      <c r="BF276" s="150">
        <f>IF(N276="snížená",J276,0)</f>
        <v>0</v>
      </c>
      <c r="BG276" s="150">
        <f>IF(N276="zákl. přenesená",J276,0)</f>
        <v>0</v>
      </c>
      <c r="BH276" s="150">
        <f>IF(N276="sníž. přenesená",J276,0)</f>
        <v>0</v>
      </c>
      <c r="BI276" s="150">
        <f>IF(N276="nulová",J276,0)</f>
        <v>0</v>
      </c>
      <c r="BJ276" s="18" t="s">
        <v>88</v>
      </c>
      <c r="BK276" s="150">
        <f>ROUND(I276*H276,2)</f>
        <v>43322.44</v>
      </c>
      <c r="BL276" s="18" t="s">
        <v>191</v>
      </c>
      <c r="BM276" s="149" t="s">
        <v>2022</v>
      </c>
    </row>
    <row r="277" spans="2:65" s="1" customFormat="1" ht="16.5" customHeight="1" x14ac:dyDescent="0.3">
      <c r="B277" s="33"/>
      <c r="C277" s="172" t="s">
        <v>1062</v>
      </c>
      <c r="D277" s="172" t="s">
        <v>271</v>
      </c>
      <c r="E277" s="173" t="s">
        <v>2023</v>
      </c>
      <c r="F277" s="174" t="s">
        <v>2024</v>
      </c>
      <c r="G277" s="175" t="s">
        <v>557</v>
      </c>
      <c r="H277" s="176">
        <v>2</v>
      </c>
      <c r="I277" s="177">
        <v>5077.01</v>
      </c>
      <c r="J277" s="178">
        <f>ROUND(I277*H277,2)</f>
        <v>10154.02</v>
      </c>
      <c r="K277" s="174" t="s">
        <v>1</v>
      </c>
      <c r="L277" s="179"/>
      <c r="M277" s="180" t="s">
        <v>1</v>
      </c>
      <c r="N277" s="181" t="s">
        <v>47</v>
      </c>
      <c r="O277" s="147">
        <v>0</v>
      </c>
      <c r="P277" s="147">
        <f>O277*H277</f>
        <v>0</v>
      </c>
      <c r="Q277" s="147">
        <v>2.3E-2</v>
      </c>
      <c r="R277" s="147">
        <f>Q277*H277</f>
        <v>4.5999999999999999E-2</v>
      </c>
      <c r="S277" s="147">
        <v>0</v>
      </c>
      <c r="T277" s="148">
        <f>S277*H277</f>
        <v>0</v>
      </c>
      <c r="AR277" s="149" t="s">
        <v>239</v>
      </c>
      <c r="AT277" s="149" t="s">
        <v>271</v>
      </c>
      <c r="AU277" s="149" t="s">
        <v>20</v>
      </c>
      <c r="AY277" s="18" t="s">
        <v>184</v>
      </c>
      <c r="BE277" s="150">
        <f>IF(N277="základní",J277,0)</f>
        <v>10154.02</v>
      </c>
      <c r="BF277" s="150">
        <f>IF(N277="snížená",J277,0)</f>
        <v>0</v>
      </c>
      <c r="BG277" s="150">
        <f>IF(N277="zákl. přenesená",J277,0)</f>
        <v>0</v>
      </c>
      <c r="BH277" s="150">
        <f>IF(N277="sníž. přenesená",J277,0)</f>
        <v>0</v>
      </c>
      <c r="BI277" s="150">
        <f>IF(N277="nulová",J277,0)</f>
        <v>0</v>
      </c>
      <c r="BJ277" s="18" t="s">
        <v>88</v>
      </c>
      <c r="BK277" s="150">
        <f>ROUND(I277*H277,2)</f>
        <v>10154.02</v>
      </c>
      <c r="BL277" s="18" t="s">
        <v>191</v>
      </c>
      <c r="BM277" s="149" t="s">
        <v>2025</v>
      </c>
    </row>
    <row r="278" spans="2:65" s="1" customFormat="1" ht="16.5" customHeight="1" x14ac:dyDescent="0.3">
      <c r="B278" s="33"/>
      <c r="C278" s="138" t="s">
        <v>1066</v>
      </c>
      <c r="D278" s="138" t="s">
        <v>186</v>
      </c>
      <c r="E278" s="139" t="s">
        <v>1086</v>
      </c>
      <c r="F278" s="140" t="s">
        <v>2026</v>
      </c>
      <c r="G278" s="141" t="s">
        <v>557</v>
      </c>
      <c r="H278" s="142">
        <v>3</v>
      </c>
      <c r="I278" s="143">
        <v>2672.56</v>
      </c>
      <c r="J278" s="144">
        <f>ROUND(I278*H278,2)</f>
        <v>8017.68</v>
      </c>
      <c r="K278" s="140" t="s">
        <v>190</v>
      </c>
      <c r="L278" s="33"/>
      <c r="M278" s="145" t="s">
        <v>1</v>
      </c>
      <c r="N278" s="146" t="s">
        <v>47</v>
      </c>
      <c r="O278" s="147">
        <v>0.78800000000000003</v>
      </c>
      <c r="P278" s="147">
        <f>O278*H278</f>
        <v>2.3639999999999999</v>
      </c>
      <c r="Q278" s="147">
        <v>0.37164000000000003</v>
      </c>
      <c r="R278" s="147">
        <f>Q278*H278</f>
        <v>1.1149200000000001</v>
      </c>
      <c r="S278" s="147">
        <v>0</v>
      </c>
      <c r="T278" s="148">
        <f>S278*H278</f>
        <v>0</v>
      </c>
      <c r="AR278" s="149" t="s">
        <v>191</v>
      </c>
      <c r="AT278" s="149" t="s">
        <v>186</v>
      </c>
      <c r="AU278" s="149" t="s">
        <v>20</v>
      </c>
      <c r="AY278" s="18" t="s">
        <v>184</v>
      </c>
      <c r="BE278" s="150">
        <f>IF(N278="základní",J278,0)</f>
        <v>8017.68</v>
      </c>
      <c r="BF278" s="150">
        <f>IF(N278="snížená",J278,0)</f>
        <v>0</v>
      </c>
      <c r="BG278" s="150">
        <f>IF(N278="zákl. přenesená",J278,0)</f>
        <v>0</v>
      </c>
      <c r="BH278" s="150">
        <f>IF(N278="sníž. přenesená",J278,0)</f>
        <v>0</v>
      </c>
      <c r="BI278" s="150">
        <f>IF(N278="nulová",J278,0)</f>
        <v>0</v>
      </c>
      <c r="BJ278" s="18" t="s">
        <v>88</v>
      </c>
      <c r="BK278" s="150">
        <f>ROUND(I278*H278,2)</f>
        <v>8017.68</v>
      </c>
      <c r="BL278" s="18" t="s">
        <v>191</v>
      </c>
      <c r="BM278" s="149" t="s">
        <v>2027</v>
      </c>
    </row>
    <row r="279" spans="2:65" s="1" customFormat="1" x14ac:dyDescent="0.3">
      <c r="B279" s="33"/>
      <c r="D279" s="151" t="s">
        <v>193</v>
      </c>
      <c r="F279" s="152" t="s">
        <v>1089</v>
      </c>
      <c r="I279" s="153"/>
      <c r="L279" s="33"/>
      <c r="M279" s="154"/>
      <c r="T279" s="57"/>
      <c r="AT279" s="18" t="s">
        <v>193</v>
      </c>
      <c r="AU279" s="18" t="s">
        <v>20</v>
      </c>
    </row>
    <row r="280" spans="2:65" s="1" customFormat="1" ht="24.2" customHeight="1" x14ac:dyDescent="0.3">
      <c r="B280" s="33"/>
      <c r="C280" s="172" t="s">
        <v>1070</v>
      </c>
      <c r="D280" s="172" t="s">
        <v>271</v>
      </c>
      <c r="E280" s="173" t="s">
        <v>1091</v>
      </c>
      <c r="F280" s="174" t="s">
        <v>1092</v>
      </c>
      <c r="G280" s="175" t="s">
        <v>557</v>
      </c>
      <c r="H280" s="176">
        <v>3</v>
      </c>
      <c r="I280" s="177">
        <v>9607.51</v>
      </c>
      <c r="J280" s="178">
        <f>ROUND(I280*H280,2)</f>
        <v>28822.53</v>
      </c>
      <c r="K280" s="174" t="s">
        <v>190</v>
      </c>
      <c r="L280" s="179"/>
      <c r="M280" s="180" t="s">
        <v>1</v>
      </c>
      <c r="N280" s="181" t="s">
        <v>47</v>
      </c>
      <c r="O280" s="147">
        <v>0</v>
      </c>
      <c r="P280" s="147">
        <f>O280*H280</f>
        <v>0</v>
      </c>
      <c r="Q280" s="147">
        <v>3.7000000000000002E-3</v>
      </c>
      <c r="R280" s="147">
        <f>Q280*H280</f>
        <v>1.11E-2</v>
      </c>
      <c r="S280" s="147">
        <v>0</v>
      </c>
      <c r="T280" s="148">
        <f>S280*H280</f>
        <v>0</v>
      </c>
      <c r="AR280" s="149" t="s">
        <v>239</v>
      </c>
      <c r="AT280" s="149" t="s">
        <v>271</v>
      </c>
      <c r="AU280" s="149" t="s">
        <v>20</v>
      </c>
      <c r="AY280" s="18" t="s">
        <v>184</v>
      </c>
      <c r="BE280" s="150">
        <f>IF(N280="základní",J280,0)</f>
        <v>28822.53</v>
      </c>
      <c r="BF280" s="150">
        <f>IF(N280="snížená",J280,0)</f>
        <v>0</v>
      </c>
      <c r="BG280" s="150">
        <f>IF(N280="zákl. přenesená",J280,0)</f>
        <v>0</v>
      </c>
      <c r="BH280" s="150">
        <f>IF(N280="sníž. přenesená",J280,0)</f>
        <v>0</v>
      </c>
      <c r="BI280" s="150">
        <f>IF(N280="nulová",J280,0)</f>
        <v>0</v>
      </c>
      <c r="BJ280" s="18" t="s">
        <v>88</v>
      </c>
      <c r="BK280" s="150">
        <f>ROUND(I280*H280,2)</f>
        <v>28822.53</v>
      </c>
      <c r="BL280" s="18" t="s">
        <v>191</v>
      </c>
      <c r="BM280" s="149" t="s">
        <v>2028</v>
      </c>
    </row>
    <row r="281" spans="2:65" s="1" customFormat="1" ht="16.5" customHeight="1" x14ac:dyDescent="0.3">
      <c r="B281" s="33"/>
      <c r="C281" s="172" t="s">
        <v>1074</v>
      </c>
      <c r="D281" s="172" t="s">
        <v>271</v>
      </c>
      <c r="E281" s="173" t="s">
        <v>2029</v>
      </c>
      <c r="F281" s="174" t="s">
        <v>2030</v>
      </c>
      <c r="G281" s="175" t="s">
        <v>557</v>
      </c>
      <c r="H281" s="176">
        <v>4</v>
      </c>
      <c r="I281" s="177">
        <v>934.59</v>
      </c>
      <c r="J281" s="178">
        <f>ROUND(I281*H281,2)</f>
        <v>3738.36</v>
      </c>
      <c r="K281" s="174" t="s">
        <v>190</v>
      </c>
      <c r="L281" s="179"/>
      <c r="M281" s="180" t="s">
        <v>1</v>
      </c>
      <c r="N281" s="181" t="s">
        <v>47</v>
      </c>
      <c r="O281" s="147">
        <v>0</v>
      </c>
      <c r="P281" s="147">
        <f>O281*H281</f>
        <v>0</v>
      </c>
      <c r="Q281" s="147">
        <v>2.9999999999999997E-4</v>
      </c>
      <c r="R281" s="147">
        <f>Q281*H281</f>
        <v>1.1999999999999999E-3</v>
      </c>
      <c r="S281" s="147">
        <v>0</v>
      </c>
      <c r="T281" s="148">
        <f>S281*H281</f>
        <v>0</v>
      </c>
      <c r="AR281" s="149" t="s">
        <v>239</v>
      </c>
      <c r="AT281" s="149" t="s">
        <v>271</v>
      </c>
      <c r="AU281" s="149" t="s">
        <v>20</v>
      </c>
      <c r="AY281" s="18" t="s">
        <v>184</v>
      </c>
      <c r="BE281" s="150">
        <f>IF(N281="základní",J281,0)</f>
        <v>3738.36</v>
      </c>
      <c r="BF281" s="150">
        <f>IF(N281="snížená",J281,0)</f>
        <v>0</v>
      </c>
      <c r="BG281" s="150">
        <f>IF(N281="zákl. přenesená",J281,0)</f>
        <v>0</v>
      </c>
      <c r="BH281" s="150">
        <f>IF(N281="sníž. přenesená",J281,0)</f>
        <v>0</v>
      </c>
      <c r="BI281" s="150">
        <f>IF(N281="nulová",J281,0)</f>
        <v>0</v>
      </c>
      <c r="BJ281" s="18" t="s">
        <v>88</v>
      </c>
      <c r="BK281" s="150">
        <f>ROUND(I281*H281,2)</f>
        <v>3738.36</v>
      </c>
      <c r="BL281" s="18" t="s">
        <v>191</v>
      </c>
      <c r="BM281" s="149" t="s">
        <v>2031</v>
      </c>
    </row>
    <row r="282" spans="2:65" s="1" customFormat="1" ht="19.5" x14ac:dyDescent="0.3">
      <c r="B282" s="33"/>
      <c r="D282" s="156" t="s">
        <v>236</v>
      </c>
      <c r="F282" s="170" t="s">
        <v>2032</v>
      </c>
      <c r="I282" s="153"/>
      <c r="L282" s="33"/>
      <c r="M282" s="154"/>
      <c r="T282" s="57"/>
      <c r="AT282" s="18" t="s">
        <v>236</v>
      </c>
      <c r="AU282" s="18" t="s">
        <v>20</v>
      </c>
    </row>
    <row r="283" spans="2:65" s="1" customFormat="1" ht="16.5" customHeight="1" x14ac:dyDescent="0.3">
      <c r="B283" s="33"/>
      <c r="C283" s="172" t="s">
        <v>1078</v>
      </c>
      <c r="D283" s="172" t="s">
        <v>271</v>
      </c>
      <c r="E283" s="173" t="s">
        <v>1095</v>
      </c>
      <c r="F283" s="174" t="s">
        <v>1096</v>
      </c>
      <c r="G283" s="175" t="s">
        <v>210</v>
      </c>
      <c r="H283" s="176">
        <v>3</v>
      </c>
      <c r="I283" s="177">
        <v>2430.2199999999998</v>
      </c>
      <c r="J283" s="178">
        <f>ROUND(I283*H283,2)</f>
        <v>7290.66</v>
      </c>
      <c r="K283" s="174" t="s">
        <v>190</v>
      </c>
      <c r="L283" s="179"/>
      <c r="M283" s="180" t="s">
        <v>1</v>
      </c>
      <c r="N283" s="181" t="s">
        <v>47</v>
      </c>
      <c r="O283" s="147">
        <v>0</v>
      </c>
      <c r="P283" s="147">
        <f>O283*H283</f>
        <v>0</v>
      </c>
      <c r="Q283" s="147">
        <v>1.6899999999999998E-2</v>
      </c>
      <c r="R283" s="147">
        <f>Q283*H283</f>
        <v>5.0699999999999995E-2</v>
      </c>
      <c r="S283" s="147">
        <v>0</v>
      </c>
      <c r="T283" s="148">
        <f>S283*H283</f>
        <v>0</v>
      </c>
      <c r="AR283" s="149" t="s">
        <v>239</v>
      </c>
      <c r="AT283" s="149" t="s">
        <v>271</v>
      </c>
      <c r="AU283" s="149" t="s">
        <v>20</v>
      </c>
      <c r="AY283" s="18" t="s">
        <v>184</v>
      </c>
      <c r="BE283" s="150">
        <f>IF(N283="základní",J283,0)</f>
        <v>7290.66</v>
      </c>
      <c r="BF283" s="150">
        <f>IF(N283="snížená",J283,0)</f>
        <v>0</v>
      </c>
      <c r="BG283" s="150">
        <f>IF(N283="zákl. přenesená",J283,0)</f>
        <v>0</v>
      </c>
      <c r="BH283" s="150">
        <f>IF(N283="sníž. přenesená",J283,0)</f>
        <v>0</v>
      </c>
      <c r="BI283" s="150">
        <f>IF(N283="nulová",J283,0)</f>
        <v>0</v>
      </c>
      <c r="BJ283" s="18" t="s">
        <v>88</v>
      </c>
      <c r="BK283" s="150">
        <f>ROUND(I283*H283,2)</f>
        <v>7290.66</v>
      </c>
      <c r="BL283" s="18" t="s">
        <v>191</v>
      </c>
      <c r="BM283" s="149" t="s">
        <v>2033</v>
      </c>
    </row>
    <row r="284" spans="2:65" s="1" customFormat="1" ht="24.2" customHeight="1" x14ac:dyDescent="0.3">
      <c r="B284" s="33"/>
      <c r="C284" s="138" t="s">
        <v>1085</v>
      </c>
      <c r="D284" s="138" t="s">
        <v>186</v>
      </c>
      <c r="E284" s="139" t="s">
        <v>1099</v>
      </c>
      <c r="F284" s="140" t="s">
        <v>2034</v>
      </c>
      <c r="G284" s="141" t="s">
        <v>210</v>
      </c>
      <c r="H284" s="142">
        <v>0.36</v>
      </c>
      <c r="I284" s="143">
        <v>8246.75</v>
      </c>
      <c r="J284" s="144">
        <f>ROUND(I284*H284,2)</f>
        <v>2968.83</v>
      </c>
      <c r="K284" s="140" t="s">
        <v>190</v>
      </c>
      <c r="L284" s="33"/>
      <c r="M284" s="145" t="s">
        <v>1</v>
      </c>
      <c r="N284" s="146" t="s">
        <v>47</v>
      </c>
      <c r="O284" s="147">
        <v>2.6</v>
      </c>
      <c r="P284" s="147">
        <f>O284*H284</f>
        <v>0.93599999999999994</v>
      </c>
      <c r="Q284" s="147">
        <v>2.7899999999999999E-3</v>
      </c>
      <c r="R284" s="147">
        <f>Q284*H284</f>
        <v>1.0043999999999999E-3</v>
      </c>
      <c r="S284" s="147">
        <v>5.6000000000000001E-2</v>
      </c>
      <c r="T284" s="148">
        <f>S284*H284</f>
        <v>2.0160000000000001E-2</v>
      </c>
      <c r="AR284" s="149" t="s">
        <v>191</v>
      </c>
      <c r="AT284" s="149" t="s">
        <v>186</v>
      </c>
      <c r="AU284" s="149" t="s">
        <v>20</v>
      </c>
      <c r="AY284" s="18" t="s">
        <v>184</v>
      </c>
      <c r="BE284" s="150">
        <f>IF(N284="základní",J284,0)</f>
        <v>2968.83</v>
      </c>
      <c r="BF284" s="150">
        <f>IF(N284="snížená",J284,0)</f>
        <v>0</v>
      </c>
      <c r="BG284" s="150">
        <f>IF(N284="zákl. přenesená",J284,0)</f>
        <v>0</v>
      </c>
      <c r="BH284" s="150">
        <f>IF(N284="sníž. přenesená",J284,0)</f>
        <v>0</v>
      </c>
      <c r="BI284" s="150">
        <f>IF(N284="nulová",J284,0)</f>
        <v>0</v>
      </c>
      <c r="BJ284" s="18" t="s">
        <v>88</v>
      </c>
      <c r="BK284" s="150">
        <f>ROUND(I284*H284,2)</f>
        <v>2968.83</v>
      </c>
      <c r="BL284" s="18" t="s">
        <v>191</v>
      </c>
      <c r="BM284" s="149" t="s">
        <v>2035</v>
      </c>
    </row>
    <row r="285" spans="2:65" s="1" customFormat="1" x14ac:dyDescent="0.3">
      <c r="B285" s="33"/>
      <c r="D285" s="151" t="s">
        <v>193</v>
      </c>
      <c r="F285" s="152" t="s">
        <v>2036</v>
      </c>
      <c r="I285" s="153"/>
      <c r="L285" s="33"/>
      <c r="M285" s="154"/>
      <c r="T285" s="57"/>
      <c r="AT285" s="18" t="s">
        <v>193</v>
      </c>
      <c r="AU285" s="18" t="s">
        <v>20</v>
      </c>
    </row>
    <row r="286" spans="2:65" s="12" customFormat="1" ht="11.25" x14ac:dyDescent="0.3">
      <c r="B286" s="155"/>
      <c r="D286" s="156" t="s">
        <v>195</v>
      </c>
      <c r="E286" s="157" t="s">
        <v>1</v>
      </c>
      <c r="F286" s="158" t="s">
        <v>2037</v>
      </c>
      <c r="H286" s="159">
        <v>0.36</v>
      </c>
      <c r="I286" s="160"/>
      <c r="L286" s="155"/>
      <c r="M286" s="161"/>
      <c r="T286" s="162"/>
      <c r="AT286" s="157" t="s">
        <v>195</v>
      </c>
      <c r="AU286" s="157" t="s">
        <v>20</v>
      </c>
      <c r="AV286" s="12" t="s">
        <v>20</v>
      </c>
      <c r="AW286" s="12" t="s">
        <v>37</v>
      </c>
      <c r="AX286" s="12" t="s">
        <v>88</v>
      </c>
      <c r="AY286" s="157" t="s">
        <v>184</v>
      </c>
    </row>
    <row r="287" spans="2:65" s="11" customFormat="1" ht="22.9" customHeight="1" x14ac:dyDescent="0.2">
      <c r="B287" s="127"/>
      <c r="D287" s="128" t="s">
        <v>80</v>
      </c>
      <c r="E287" s="136" t="s">
        <v>358</v>
      </c>
      <c r="F287" s="136" t="s">
        <v>359</v>
      </c>
      <c r="I287" s="171"/>
      <c r="J287" s="137">
        <f>BK287</f>
        <v>144528.81</v>
      </c>
      <c r="L287" s="127"/>
      <c r="M287" s="131"/>
      <c r="P287" s="132">
        <f>SUM(P288:P302)</f>
        <v>441.15400900000003</v>
      </c>
      <c r="R287" s="132">
        <f>SUM(R288:R302)</f>
        <v>0</v>
      </c>
      <c r="T287" s="133">
        <f>SUM(T288:T302)</f>
        <v>0</v>
      </c>
      <c r="AR287" s="128" t="s">
        <v>88</v>
      </c>
      <c r="AT287" s="134" t="s">
        <v>80</v>
      </c>
      <c r="AU287" s="134" t="s">
        <v>88</v>
      </c>
      <c r="AY287" s="128" t="s">
        <v>184</v>
      </c>
      <c r="BK287" s="135">
        <f>SUM(BK288:BK302)</f>
        <v>144528.81</v>
      </c>
    </row>
    <row r="288" spans="2:65" s="1" customFormat="1" ht="24.2" customHeight="1" x14ac:dyDescent="0.3">
      <c r="B288" s="33"/>
      <c r="C288" s="138" t="s">
        <v>1090</v>
      </c>
      <c r="D288" s="138" t="s">
        <v>186</v>
      </c>
      <c r="E288" s="139" t="s">
        <v>361</v>
      </c>
      <c r="F288" s="140" t="s">
        <v>1572</v>
      </c>
      <c r="G288" s="141" t="s">
        <v>248</v>
      </c>
      <c r="H288" s="142">
        <v>431.78300000000002</v>
      </c>
      <c r="I288" s="143">
        <v>178.35</v>
      </c>
      <c r="J288" s="144">
        <f>ROUND(I288*H288,2)</f>
        <v>77008.5</v>
      </c>
      <c r="K288" s="140" t="s">
        <v>190</v>
      </c>
      <c r="L288" s="33"/>
      <c r="M288" s="145" t="s">
        <v>1</v>
      </c>
      <c r="N288" s="146" t="s">
        <v>47</v>
      </c>
      <c r="O288" s="147">
        <v>0.83499999999999996</v>
      </c>
      <c r="P288" s="147">
        <f>O288*H288</f>
        <v>360.53880500000002</v>
      </c>
      <c r="Q288" s="147">
        <v>0</v>
      </c>
      <c r="R288" s="147">
        <f>Q288*H288</f>
        <v>0</v>
      </c>
      <c r="S288" s="147">
        <v>0</v>
      </c>
      <c r="T288" s="148">
        <f>S288*H288</f>
        <v>0</v>
      </c>
      <c r="AR288" s="149" t="s">
        <v>191</v>
      </c>
      <c r="AT288" s="149" t="s">
        <v>186</v>
      </c>
      <c r="AU288" s="149" t="s">
        <v>20</v>
      </c>
      <c r="AY288" s="18" t="s">
        <v>184</v>
      </c>
      <c r="BE288" s="150">
        <f>IF(N288="základní",J288,0)</f>
        <v>77008.5</v>
      </c>
      <c r="BF288" s="150">
        <f>IF(N288="snížená",J288,0)</f>
        <v>0</v>
      </c>
      <c r="BG288" s="150">
        <f>IF(N288="zákl. přenesená",J288,0)</f>
        <v>0</v>
      </c>
      <c r="BH288" s="150">
        <f>IF(N288="sníž. přenesená",J288,0)</f>
        <v>0</v>
      </c>
      <c r="BI288" s="150">
        <f>IF(N288="nulová",J288,0)</f>
        <v>0</v>
      </c>
      <c r="BJ288" s="18" t="s">
        <v>88</v>
      </c>
      <c r="BK288" s="150">
        <f>ROUND(I288*H288,2)</f>
        <v>77008.5</v>
      </c>
      <c r="BL288" s="18" t="s">
        <v>191</v>
      </c>
      <c r="BM288" s="149" t="s">
        <v>2038</v>
      </c>
    </row>
    <row r="289" spans="2:65" s="1" customFormat="1" x14ac:dyDescent="0.3">
      <c r="B289" s="33"/>
      <c r="D289" s="151" t="s">
        <v>193</v>
      </c>
      <c r="F289" s="152" t="s">
        <v>364</v>
      </c>
      <c r="I289" s="153"/>
      <c r="L289" s="33"/>
      <c r="M289" s="154"/>
      <c r="T289" s="57"/>
      <c r="AT289" s="18" t="s">
        <v>193</v>
      </c>
      <c r="AU289" s="18" t="s">
        <v>20</v>
      </c>
    </row>
    <row r="290" spans="2:65" s="12" customFormat="1" ht="11.25" x14ac:dyDescent="0.3">
      <c r="B290" s="155"/>
      <c r="D290" s="156" t="s">
        <v>195</v>
      </c>
      <c r="E290" s="157" t="s">
        <v>1</v>
      </c>
      <c r="F290" s="158" t="s">
        <v>2039</v>
      </c>
      <c r="H290" s="159">
        <v>427.40800000000002</v>
      </c>
      <c r="I290" s="160"/>
      <c r="L290" s="155"/>
      <c r="M290" s="161"/>
      <c r="T290" s="162"/>
      <c r="AT290" s="157" t="s">
        <v>195</v>
      </c>
      <c r="AU290" s="157" t="s">
        <v>20</v>
      </c>
      <c r="AV290" s="12" t="s">
        <v>20</v>
      </c>
      <c r="AW290" s="12" t="s">
        <v>37</v>
      </c>
      <c r="AX290" s="12" t="s">
        <v>81</v>
      </c>
      <c r="AY290" s="157" t="s">
        <v>184</v>
      </c>
    </row>
    <row r="291" spans="2:65" s="12" customFormat="1" ht="11.25" x14ac:dyDescent="0.3">
      <c r="B291" s="155"/>
      <c r="D291" s="156" t="s">
        <v>195</v>
      </c>
      <c r="E291" s="157" t="s">
        <v>1</v>
      </c>
      <c r="F291" s="158" t="s">
        <v>2040</v>
      </c>
      <c r="H291" s="159">
        <v>4.375</v>
      </c>
      <c r="I291" s="160"/>
      <c r="L291" s="155"/>
      <c r="M291" s="161"/>
      <c r="T291" s="162"/>
      <c r="AT291" s="157" t="s">
        <v>195</v>
      </c>
      <c r="AU291" s="157" t="s">
        <v>20</v>
      </c>
      <c r="AV291" s="12" t="s">
        <v>20</v>
      </c>
      <c r="AW291" s="12" t="s">
        <v>37</v>
      </c>
      <c r="AX291" s="12" t="s">
        <v>81</v>
      </c>
      <c r="AY291" s="157" t="s">
        <v>184</v>
      </c>
    </row>
    <row r="292" spans="2:65" s="13" customFormat="1" ht="11.25" x14ac:dyDescent="0.3">
      <c r="B292" s="163"/>
      <c r="D292" s="156" t="s">
        <v>195</v>
      </c>
      <c r="E292" s="164" t="s">
        <v>1</v>
      </c>
      <c r="F292" s="165" t="s">
        <v>230</v>
      </c>
      <c r="H292" s="166">
        <v>431.78300000000002</v>
      </c>
      <c r="I292" s="167"/>
      <c r="L292" s="163"/>
      <c r="M292" s="168"/>
      <c r="T292" s="169"/>
      <c r="AT292" s="164" t="s">
        <v>195</v>
      </c>
      <c r="AU292" s="164" t="s">
        <v>20</v>
      </c>
      <c r="AV292" s="13" t="s">
        <v>191</v>
      </c>
      <c r="AW292" s="13" t="s">
        <v>37</v>
      </c>
      <c r="AX292" s="13" t="s">
        <v>88</v>
      </c>
      <c r="AY292" s="164" t="s">
        <v>184</v>
      </c>
    </row>
    <row r="293" spans="2:65" s="1" customFormat="1" ht="24.2" customHeight="1" x14ac:dyDescent="0.3">
      <c r="B293" s="33"/>
      <c r="C293" s="138" t="s">
        <v>1094</v>
      </c>
      <c r="D293" s="138" t="s">
        <v>186</v>
      </c>
      <c r="E293" s="139" t="s">
        <v>636</v>
      </c>
      <c r="F293" s="140" t="s">
        <v>1756</v>
      </c>
      <c r="G293" s="141" t="s">
        <v>248</v>
      </c>
      <c r="H293" s="142">
        <v>65.625</v>
      </c>
      <c r="I293" s="143">
        <v>17.12</v>
      </c>
      <c r="J293" s="144">
        <f>ROUND(I293*H293,2)</f>
        <v>1123.5</v>
      </c>
      <c r="K293" s="140" t="s">
        <v>190</v>
      </c>
      <c r="L293" s="33"/>
      <c r="M293" s="145" t="s">
        <v>1</v>
      </c>
      <c r="N293" s="146" t="s">
        <v>47</v>
      </c>
      <c r="O293" s="147">
        <v>4.0000000000000001E-3</v>
      </c>
      <c r="P293" s="147">
        <f>O293*H293</f>
        <v>0.26250000000000001</v>
      </c>
      <c r="Q293" s="147">
        <v>0</v>
      </c>
      <c r="R293" s="147">
        <f>Q293*H293</f>
        <v>0</v>
      </c>
      <c r="S293" s="147">
        <v>0</v>
      </c>
      <c r="T293" s="148">
        <f>S293*H293</f>
        <v>0</v>
      </c>
      <c r="AR293" s="149" t="s">
        <v>191</v>
      </c>
      <c r="AT293" s="149" t="s">
        <v>186</v>
      </c>
      <c r="AU293" s="149" t="s">
        <v>20</v>
      </c>
      <c r="AY293" s="18" t="s">
        <v>184</v>
      </c>
      <c r="BE293" s="150">
        <f>IF(N293="základní",J293,0)</f>
        <v>1123.5</v>
      </c>
      <c r="BF293" s="150">
        <f>IF(N293="snížená",J293,0)</f>
        <v>0</v>
      </c>
      <c r="BG293" s="150">
        <f>IF(N293="zákl. přenesená",J293,0)</f>
        <v>0</v>
      </c>
      <c r="BH293" s="150">
        <f>IF(N293="sníž. přenesená",J293,0)</f>
        <v>0</v>
      </c>
      <c r="BI293" s="150">
        <f>IF(N293="nulová",J293,0)</f>
        <v>0</v>
      </c>
      <c r="BJ293" s="18" t="s">
        <v>88</v>
      </c>
      <c r="BK293" s="150">
        <f>ROUND(I293*H293,2)</f>
        <v>1123.5</v>
      </c>
      <c r="BL293" s="18" t="s">
        <v>191</v>
      </c>
      <c r="BM293" s="149" t="s">
        <v>2041</v>
      </c>
    </row>
    <row r="294" spans="2:65" s="1" customFormat="1" x14ac:dyDescent="0.3">
      <c r="B294" s="33"/>
      <c r="D294" s="151" t="s">
        <v>193</v>
      </c>
      <c r="F294" s="152" t="s">
        <v>639</v>
      </c>
      <c r="I294" s="153"/>
      <c r="L294" s="33"/>
      <c r="M294" s="154"/>
      <c r="T294" s="57"/>
      <c r="AT294" s="18" t="s">
        <v>193</v>
      </c>
      <c r="AU294" s="18" t="s">
        <v>20</v>
      </c>
    </row>
    <row r="295" spans="2:65" s="1" customFormat="1" ht="19.5" x14ac:dyDescent="0.3">
      <c r="B295" s="33"/>
      <c r="D295" s="156" t="s">
        <v>236</v>
      </c>
      <c r="F295" s="170" t="s">
        <v>2042</v>
      </c>
      <c r="I295" s="153"/>
      <c r="L295" s="33"/>
      <c r="M295" s="154"/>
      <c r="T295" s="57"/>
      <c r="AT295" s="18" t="s">
        <v>236</v>
      </c>
      <c r="AU295" s="18" t="s">
        <v>20</v>
      </c>
    </row>
    <row r="296" spans="2:65" s="12" customFormat="1" ht="11.25" x14ac:dyDescent="0.3">
      <c r="B296" s="155"/>
      <c r="D296" s="156" t="s">
        <v>195</v>
      </c>
      <c r="E296" s="157" t="s">
        <v>1</v>
      </c>
      <c r="F296" s="158" t="s">
        <v>2043</v>
      </c>
      <c r="H296" s="159">
        <v>4.375</v>
      </c>
      <c r="I296" s="160"/>
      <c r="L296" s="155"/>
      <c r="M296" s="161"/>
      <c r="T296" s="162"/>
      <c r="AT296" s="157" t="s">
        <v>195</v>
      </c>
      <c r="AU296" s="157" t="s">
        <v>20</v>
      </c>
      <c r="AV296" s="12" t="s">
        <v>20</v>
      </c>
      <c r="AW296" s="12" t="s">
        <v>37</v>
      </c>
      <c r="AX296" s="12" t="s">
        <v>81</v>
      </c>
      <c r="AY296" s="157" t="s">
        <v>184</v>
      </c>
    </row>
    <row r="297" spans="2:65" s="12" customFormat="1" ht="11.25" x14ac:dyDescent="0.3">
      <c r="B297" s="155"/>
      <c r="D297" s="156" t="s">
        <v>195</v>
      </c>
      <c r="E297" s="157" t="s">
        <v>1</v>
      </c>
      <c r="F297" s="158" t="s">
        <v>2044</v>
      </c>
      <c r="H297" s="159">
        <v>65.625</v>
      </c>
      <c r="I297" s="160"/>
      <c r="L297" s="155"/>
      <c r="M297" s="161"/>
      <c r="T297" s="162"/>
      <c r="AT297" s="157" t="s">
        <v>195</v>
      </c>
      <c r="AU297" s="157" t="s">
        <v>20</v>
      </c>
      <c r="AV297" s="12" t="s">
        <v>20</v>
      </c>
      <c r="AW297" s="12" t="s">
        <v>37</v>
      </c>
      <c r="AX297" s="12" t="s">
        <v>88</v>
      </c>
      <c r="AY297" s="157" t="s">
        <v>184</v>
      </c>
    </row>
    <row r="298" spans="2:65" s="1" customFormat="1" ht="16.5" customHeight="1" x14ac:dyDescent="0.3">
      <c r="B298" s="33"/>
      <c r="C298" s="138" t="s">
        <v>1098</v>
      </c>
      <c r="D298" s="138" t="s">
        <v>186</v>
      </c>
      <c r="E298" s="139" t="s">
        <v>369</v>
      </c>
      <c r="F298" s="140" t="s">
        <v>1576</v>
      </c>
      <c r="G298" s="141" t="s">
        <v>248</v>
      </c>
      <c r="H298" s="142">
        <v>213.70400000000001</v>
      </c>
      <c r="I298" s="143">
        <v>305.44</v>
      </c>
      <c r="J298" s="144">
        <f>ROUND(I298*H298,2)</f>
        <v>65273.75</v>
      </c>
      <c r="K298" s="140" t="s">
        <v>190</v>
      </c>
      <c r="L298" s="33"/>
      <c r="M298" s="145" t="s">
        <v>1</v>
      </c>
      <c r="N298" s="146" t="s">
        <v>47</v>
      </c>
      <c r="O298" s="147">
        <v>0.376</v>
      </c>
      <c r="P298" s="147">
        <f>O298*H298</f>
        <v>80.352704000000003</v>
      </c>
      <c r="Q298" s="147">
        <v>0</v>
      </c>
      <c r="R298" s="147">
        <f>Q298*H298</f>
        <v>0</v>
      </c>
      <c r="S298" s="147">
        <v>0</v>
      </c>
      <c r="T298" s="148">
        <f>S298*H298</f>
        <v>0</v>
      </c>
      <c r="AR298" s="149" t="s">
        <v>191</v>
      </c>
      <c r="AT298" s="149" t="s">
        <v>186</v>
      </c>
      <c r="AU298" s="149" t="s">
        <v>20</v>
      </c>
      <c r="AY298" s="18" t="s">
        <v>184</v>
      </c>
      <c r="BE298" s="150">
        <f>IF(N298="základní",J298,0)</f>
        <v>65273.75</v>
      </c>
      <c r="BF298" s="150">
        <f>IF(N298="snížená",J298,0)</f>
        <v>0</v>
      </c>
      <c r="BG298" s="150">
        <f>IF(N298="zákl. přenesená",J298,0)</f>
        <v>0</v>
      </c>
      <c r="BH298" s="150">
        <f>IF(N298="sníž. přenesená",J298,0)</f>
        <v>0</v>
      </c>
      <c r="BI298" s="150">
        <f>IF(N298="nulová",J298,0)</f>
        <v>0</v>
      </c>
      <c r="BJ298" s="18" t="s">
        <v>88</v>
      </c>
      <c r="BK298" s="150">
        <f>ROUND(I298*H298,2)</f>
        <v>65273.75</v>
      </c>
      <c r="BL298" s="18" t="s">
        <v>191</v>
      </c>
      <c r="BM298" s="149" t="s">
        <v>2045</v>
      </c>
    </row>
    <row r="299" spans="2:65" s="1" customFormat="1" x14ac:dyDescent="0.3">
      <c r="B299" s="33"/>
      <c r="D299" s="151" t="s">
        <v>193</v>
      </c>
      <c r="F299" s="152" t="s">
        <v>372</v>
      </c>
      <c r="I299" s="153"/>
      <c r="L299" s="33"/>
      <c r="M299" s="154"/>
      <c r="T299" s="57"/>
      <c r="AT299" s="18" t="s">
        <v>193</v>
      </c>
      <c r="AU299" s="18" t="s">
        <v>20</v>
      </c>
    </row>
    <row r="300" spans="2:65" s="12" customFormat="1" ht="11.25" x14ac:dyDescent="0.3">
      <c r="B300" s="155"/>
      <c r="D300" s="156" t="s">
        <v>195</v>
      </c>
      <c r="E300" s="157" t="s">
        <v>1</v>
      </c>
      <c r="F300" s="158" t="s">
        <v>2046</v>
      </c>
      <c r="H300" s="159">
        <v>213.70400000000001</v>
      </c>
      <c r="I300" s="160"/>
      <c r="L300" s="155"/>
      <c r="M300" s="161"/>
      <c r="T300" s="162"/>
      <c r="AT300" s="157" t="s">
        <v>195</v>
      </c>
      <c r="AU300" s="157" t="s">
        <v>20</v>
      </c>
      <c r="AV300" s="12" t="s">
        <v>20</v>
      </c>
      <c r="AW300" s="12" t="s">
        <v>37</v>
      </c>
      <c r="AX300" s="12" t="s">
        <v>88</v>
      </c>
      <c r="AY300" s="157" t="s">
        <v>184</v>
      </c>
    </row>
    <row r="301" spans="2:65" s="1" customFormat="1" ht="24.2" customHeight="1" x14ac:dyDescent="0.3">
      <c r="B301" s="33"/>
      <c r="C301" s="138" t="s">
        <v>1104</v>
      </c>
      <c r="D301" s="138" t="s">
        <v>186</v>
      </c>
      <c r="E301" s="139" t="s">
        <v>643</v>
      </c>
      <c r="F301" s="140" t="s">
        <v>1761</v>
      </c>
      <c r="G301" s="141" t="s">
        <v>248</v>
      </c>
      <c r="H301" s="142">
        <v>4.375</v>
      </c>
      <c r="I301" s="143">
        <v>256.7</v>
      </c>
      <c r="J301" s="144">
        <f>ROUND(I301*H301,2)</f>
        <v>1123.06</v>
      </c>
      <c r="K301" s="140" t="s">
        <v>190</v>
      </c>
      <c r="L301" s="33"/>
      <c r="M301" s="145" t="s">
        <v>1</v>
      </c>
      <c r="N301" s="146" t="s">
        <v>47</v>
      </c>
      <c r="O301" s="147">
        <v>0</v>
      </c>
      <c r="P301" s="147">
        <f>O301*H301</f>
        <v>0</v>
      </c>
      <c r="Q301" s="147">
        <v>0</v>
      </c>
      <c r="R301" s="147">
        <f>Q301*H301</f>
        <v>0</v>
      </c>
      <c r="S301" s="147">
        <v>0</v>
      </c>
      <c r="T301" s="148">
        <f>S301*H301</f>
        <v>0</v>
      </c>
      <c r="AR301" s="149" t="s">
        <v>191</v>
      </c>
      <c r="AT301" s="149" t="s">
        <v>186</v>
      </c>
      <c r="AU301" s="149" t="s">
        <v>20</v>
      </c>
      <c r="AY301" s="18" t="s">
        <v>184</v>
      </c>
      <c r="BE301" s="150">
        <f>IF(N301="základní",J301,0)</f>
        <v>1123.06</v>
      </c>
      <c r="BF301" s="150">
        <f>IF(N301="snížená",J301,0)</f>
        <v>0</v>
      </c>
      <c r="BG301" s="150">
        <f>IF(N301="zákl. přenesená",J301,0)</f>
        <v>0</v>
      </c>
      <c r="BH301" s="150">
        <f>IF(N301="sníž. přenesená",J301,0)</f>
        <v>0</v>
      </c>
      <c r="BI301" s="150">
        <f>IF(N301="nulová",J301,0)</f>
        <v>0</v>
      </c>
      <c r="BJ301" s="18" t="s">
        <v>88</v>
      </c>
      <c r="BK301" s="150">
        <f>ROUND(I301*H301,2)</f>
        <v>1123.06</v>
      </c>
      <c r="BL301" s="18" t="s">
        <v>191</v>
      </c>
      <c r="BM301" s="149" t="s">
        <v>2047</v>
      </c>
    </row>
    <row r="302" spans="2:65" s="1" customFormat="1" x14ac:dyDescent="0.3">
      <c r="B302" s="33"/>
      <c r="D302" s="151" t="s">
        <v>193</v>
      </c>
      <c r="F302" s="152" t="s">
        <v>646</v>
      </c>
      <c r="I302" s="153"/>
      <c r="L302" s="33"/>
      <c r="M302" s="154"/>
      <c r="T302" s="57"/>
      <c r="AT302" s="18" t="s">
        <v>193</v>
      </c>
      <c r="AU302" s="18" t="s">
        <v>20</v>
      </c>
    </row>
    <row r="303" spans="2:65" s="11" customFormat="1" ht="22.9" customHeight="1" x14ac:dyDescent="0.2">
      <c r="B303" s="127"/>
      <c r="D303" s="128" t="s">
        <v>80</v>
      </c>
      <c r="E303" s="136" t="s">
        <v>374</v>
      </c>
      <c r="F303" s="136" t="s">
        <v>375</v>
      </c>
      <c r="I303" s="171"/>
      <c r="J303" s="137">
        <f>BK303</f>
        <v>282566.82</v>
      </c>
      <c r="L303" s="127"/>
      <c r="M303" s="131"/>
      <c r="P303" s="132">
        <f>SUM(P304:P307)</f>
        <v>1141.590676</v>
      </c>
      <c r="R303" s="132">
        <f>SUM(R304:R307)</f>
        <v>0</v>
      </c>
      <c r="T303" s="133">
        <f>SUM(T304:T307)</f>
        <v>0</v>
      </c>
      <c r="AR303" s="128" t="s">
        <v>88</v>
      </c>
      <c r="AT303" s="134" t="s">
        <v>80</v>
      </c>
      <c r="AU303" s="134" t="s">
        <v>88</v>
      </c>
      <c r="AY303" s="128" t="s">
        <v>184</v>
      </c>
      <c r="BK303" s="135">
        <f>SUM(BK304:BK307)</f>
        <v>282566.82</v>
      </c>
    </row>
    <row r="304" spans="2:65" s="1" customFormat="1" ht="24.2" customHeight="1" x14ac:dyDescent="0.3">
      <c r="B304" s="33"/>
      <c r="C304" s="138" t="s">
        <v>1109</v>
      </c>
      <c r="D304" s="138" t="s">
        <v>186</v>
      </c>
      <c r="E304" s="139" t="s">
        <v>1119</v>
      </c>
      <c r="F304" s="140" t="s">
        <v>2048</v>
      </c>
      <c r="G304" s="141" t="s">
        <v>248</v>
      </c>
      <c r="H304" s="142">
        <v>462.55700000000002</v>
      </c>
      <c r="I304" s="143">
        <v>305.44</v>
      </c>
      <c r="J304" s="144">
        <f>ROUND(I304*H304,2)</f>
        <v>141283.41</v>
      </c>
      <c r="K304" s="140" t="s">
        <v>190</v>
      </c>
      <c r="L304" s="33"/>
      <c r="M304" s="145" t="s">
        <v>1</v>
      </c>
      <c r="N304" s="146" t="s">
        <v>47</v>
      </c>
      <c r="O304" s="147">
        <v>1.48</v>
      </c>
      <c r="P304" s="147">
        <f>O304*H304</f>
        <v>684.58436000000006</v>
      </c>
      <c r="Q304" s="147">
        <v>0</v>
      </c>
      <c r="R304" s="147">
        <f>Q304*H304</f>
        <v>0</v>
      </c>
      <c r="S304" s="147">
        <v>0</v>
      </c>
      <c r="T304" s="148">
        <f>S304*H304</f>
        <v>0</v>
      </c>
      <c r="AR304" s="149" t="s">
        <v>191</v>
      </c>
      <c r="AT304" s="149" t="s">
        <v>186</v>
      </c>
      <c r="AU304" s="149" t="s">
        <v>20</v>
      </c>
      <c r="AY304" s="18" t="s">
        <v>184</v>
      </c>
      <c r="BE304" s="150">
        <f>IF(N304="základní",J304,0)</f>
        <v>141283.41</v>
      </c>
      <c r="BF304" s="150">
        <f>IF(N304="snížená",J304,0)</f>
        <v>0</v>
      </c>
      <c r="BG304" s="150">
        <f>IF(N304="zákl. přenesená",J304,0)</f>
        <v>0</v>
      </c>
      <c r="BH304" s="150">
        <f>IF(N304="sníž. přenesená",J304,0)</f>
        <v>0</v>
      </c>
      <c r="BI304" s="150">
        <f>IF(N304="nulová",J304,0)</f>
        <v>0</v>
      </c>
      <c r="BJ304" s="18" t="s">
        <v>88</v>
      </c>
      <c r="BK304" s="150">
        <f>ROUND(I304*H304,2)</f>
        <v>141283.41</v>
      </c>
      <c r="BL304" s="18" t="s">
        <v>191</v>
      </c>
      <c r="BM304" s="149" t="s">
        <v>2049</v>
      </c>
    </row>
    <row r="305" spans="2:65" s="1" customFormat="1" x14ac:dyDescent="0.3">
      <c r="B305" s="33"/>
      <c r="D305" s="151" t="s">
        <v>193</v>
      </c>
      <c r="F305" s="152" t="s">
        <v>2050</v>
      </c>
      <c r="I305" s="153"/>
      <c r="L305" s="33"/>
      <c r="M305" s="154"/>
      <c r="T305" s="57"/>
      <c r="AT305" s="18" t="s">
        <v>193</v>
      </c>
      <c r="AU305" s="18" t="s">
        <v>20</v>
      </c>
    </row>
    <row r="306" spans="2:65" s="1" customFormat="1" ht="24.2" customHeight="1" x14ac:dyDescent="0.3">
      <c r="B306" s="33"/>
      <c r="C306" s="138" t="s">
        <v>1113</v>
      </c>
      <c r="D306" s="138" t="s">
        <v>186</v>
      </c>
      <c r="E306" s="139" t="s">
        <v>1123</v>
      </c>
      <c r="F306" s="140" t="s">
        <v>2051</v>
      </c>
      <c r="G306" s="141" t="s">
        <v>248</v>
      </c>
      <c r="H306" s="142">
        <v>462.55700000000002</v>
      </c>
      <c r="I306" s="143">
        <v>305.44</v>
      </c>
      <c r="J306" s="144">
        <f>ROUND(I306*H306,2)</f>
        <v>141283.41</v>
      </c>
      <c r="K306" s="140" t="s">
        <v>190</v>
      </c>
      <c r="L306" s="33"/>
      <c r="M306" s="145" t="s">
        <v>1</v>
      </c>
      <c r="N306" s="146" t="s">
        <v>47</v>
      </c>
      <c r="O306" s="147">
        <v>0.98799999999999999</v>
      </c>
      <c r="P306" s="147">
        <f>O306*H306</f>
        <v>457.00631600000003</v>
      </c>
      <c r="Q306" s="147">
        <v>0</v>
      </c>
      <c r="R306" s="147">
        <f>Q306*H306</f>
        <v>0</v>
      </c>
      <c r="S306" s="147">
        <v>0</v>
      </c>
      <c r="T306" s="148">
        <f>S306*H306</f>
        <v>0</v>
      </c>
      <c r="AR306" s="149" t="s">
        <v>191</v>
      </c>
      <c r="AT306" s="149" t="s">
        <v>186</v>
      </c>
      <c r="AU306" s="149" t="s">
        <v>20</v>
      </c>
      <c r="AY306" s="18" t="s">
        <v>184</v>
      </c>
      <c r="BE306" s="150">
        <f>IF(N306="základní",J306,0)</f>
        <v>141283.41</v>
      </c>
      <c r="BF306" s="150">
        <f>IF(N306="snížená",J306,0)</f>
        <v>0</v>
      </c>
      <c r="BG306" s="150">
        <f>IF(N306="zákl. přenesená",J306,0)</f>
        <v>0</v>
      </c>
      <c r="BH306" s="150">
        <f>IF(N306="sníž. přenesená",J306,0)</f>
        <v>0</v>
      </c>
      <c r="BI306" s="150">
        <f>IF(N306="nulová",J306,0)</f>
        <v>0</v>
      </c>
      <c r="BJ306" s="18" t="s">
        <v>88</v>
      </c>
      <c r="BK306" s="150">
        <f>ROUND(I306*H306,2)</f>
        <v>141283.41</v>
      </c>
      <c r="BL306" s="18" t="s">
        <v>191</v>
      </c>
      <c r="BM306" s="149" t="s">
        <v>2052</v>
      </c>
    </row>
    <row r="307" spans="2:65" s="1" customFormat="1" x14ac:dyDescent="0.3">
      <c r="B307" s="33"/>
      <c r="D307" s="151" t="s">
        <v>193</v>
      </c>
      <c r="F307" s="152" t="s">
        <v>2053</v>
      </c>
      <c r="I307" s="153"/>
      <c r="L307" s="33"/>
      <c r="M307" s="154"/>
      <c r="T307" s="57"/>
      <c r="AT307" s="18" t="s">
        <v>193</v>
      </c>
      <c r="AU307" s="18" t="s">
        <v>20</v>
      </c>
    </row>
    <row r="308" spans="2:65" s="11" customFormat="1" ht="25.9" customHeight="1" x14ac:dyDescent="0.2">
      <c r="B308" s="127"/>
      <c r="D308" s="128" t="s">
        <v>80</v>
      </c>
      <c r="E308" s="129" t="s">
        <v>381</v>
      </c>
      <c r="F308" s="129" t="s">
        <v>382</v>
      </c>
      <c r="I308" s="171"/>
      <c r="J308" s="130">
        <f>BK308</f>
        <v>47244.24</v>
      </c>
      <c r="L308" s="127"/>
      <c r="M308" s="131"/>
      <c r="P308" s="132">
        <f>P309</f>
        <v>3.2160000000000002</v>
      </c>
      <c r="R308" s="132">
        <f>R309</f>
        <v>0.12359999999999999</v>
      </c>
      <c r="T308" s="133">
        <f>T309</f>
        <v>0</v>
      </c>
      <c r="AR308" s="128" t="s">
        <v>20</v>
      </c>
      <c r="AT308" s="134" t="s">
        <v>80</v>
      </c>
      <c r="AU308" s="134" t="s">
        <v>81</v>
      </c>
      <c r="AY308" s="128" t="s">
        <v>184</v>
      </c>
      <c r="BK308" s="135">
        <f>BK309</f>
        <v>47244.24</v>
      </c>
    </row>
    <row r="309" spans="2:65" s="11" customFormat="1" ht="22.9" customHeight="1" x14ac:dyDescent="0.2">
      <c r="B309" s="127"/>
      <c r="D309" s="128" t="s">
        <v>80</v>
      </c>
      <c r="E309" s="136" t="s">
        <v>1126</v>
      </c>
      <c r="F309" s="136" t="s">
        <v>1127</v>
      </c>
      <c r="I309" s="171"/>
      <c r="J309" s="137">
        <f>BK309</f>
        <v>47244.24</v>
      </c>
      <c r="L309" s="127"/>
      <c r="M309" s="131"/>
      <c r="P309" s="132">
        <f>SUM(P310:P312)</f>
        <v>3.2160000000000002</v>
      </c>
      <c r="R309" s="132">
        <f>SUM(R310:R312)</f>
        <v>0.12359999999999999</v>
      </c>
      <c r="T309" s="133">
        <f>SUM(T310:T312)</f>
        <v>0</v>
      </c>
      <c r="AR309" s="128" t="s">
        <v>20</v>
      </c>
      <c r="AT309" s="134" t="s">
        <v>80</v>
      </c>
      <c r="AU309" s="134" t="s">
        <v>88</v>
      </c>
      <c r="AY309" s="128" t="s">
        <v>184</v>
      </c>
      <c r="BK309" s="135">
        <f>SUM(BK310:BK312)</f>
        <v>47244.24</v>
      </c>
    </row>
    <row r="310" spans="2:65" s="1" customFormat="1" ht="16.5" customHeight="1" x14ac:dyDescent="0.3">
      <c r="B310" s="33"/>
      <c r="C310" s="138" t="s">
        <v>1116</v>
      </c>
      <c r="D310" s="138" t="s">
        <v>186</v>
      </c>
      <c r="E310" s="139" t="s">
        <v>1129</v>
      </c>
      <c r="F310" s="140" t="s">
        <v>2054</v>
      </c>
      <c r="G310" s="141" t="s">
        <v>557</v>
      </c>
      <c r="H310" s="142">
        <v>4</v>
      </c>
      <c r="I310" s="143">
        <v>2290.7600000000002</v>
      </c>
      <c r="J310" s="144">
        <f>ROUND(I310*H310,2)</f>
        <v>9163.0400000000009</v>
      </c>
      <c r="K310" s="140" t="s">
        <v>190</v>
      </c>
      <c r="L310" s="33"/>
      <c r="M310" s="145" t="s">
        <v>1</v>
      </c>
      <c r="N310" s="146" t="s">
        <v>47</v>
      </c>
      <c r="O310" s="147">
        <v>0.80400000000000005</v>
      </c>
      <c r="P310" s="147">
        <f>O310*H310</f>
        <v>3.2160000000000002</v>
      </c>
      <c r="Q310" s="147">
        <v>1.4E-3</v>
      </c>
      <c r="R310" s="147">
        <f>Q310*H310</f>
        <v>5.5999999999999999E-3</v>
      </c>
      <c r="S310" s="147">
        <v>0</v>
      </c>
      <c r="T310" s="148">
        <f>S310*H310</f>
        <v>0</v>
      </c>
      <c r="AR310" s="149" t="s">
        <v>287</v>
      </c>
      <c r="AT310" s="149" t="s">
        <v>186</v>
      </c>
      <c r="AU310" s="149" t="s">
        <v>20</v>
      </c>
      <c r="AY310" s="18" t="s">
        <v>184</v>
      </c>
      <c r="BE310" s="150">
        <f>IF(N310="základní",J310,0)</f>
        <v>9163.0400000000009</v>
      </c>
      <c r="BF310" s="150">
        <f>IF(N310="snížená",J310,0)</f>
        <v>0</v>
      </c>
      <c r="BG310" s="150">
        <f>IF(N310="zákl. přenesená",J310,0)</f>
        <v>0</v>
      </c>
      <c r="BH310" s="150">
        <f>IF(N310="sníž. přenesená",J310,0)</f>
        <v>0</v>
      </c>
      <c r="BI310" s="150">
        <f>IF(N310="nulová",J310,0)</f>
        <v>0</v>
      </c>
      <c r="BJ310" s="18" t="s">
        <v>88</v>
      </c>
      <c r="BK310" s="150">
        <f>ROUND(I310*H310,2)</f>
        <v>9163.0400000000009</v>
      </c>
      <c r="BL310" s="18" t="s">
        <v>287</v>
      </c>
      <c r="BM310" s="149" t="s">
        <v>2055</v>
      </c>
    </row>
    <row r="311" spans="2:65" s="1" customFormat="1" x14ac:dyDescent="0.3">
      <c r="B311" s="33"/>
      <c r="D311" s="151" t="s">
        <v>193</v>
      </c>
      <c r="F311" s="152" t="s">
        <v>1132</v>
      </c>
      <c r="I311" s="153"/>
      <c r="L311" s="33"/>
      <c r="M311" s="154"/>
      <c r="T311" s="57"/>
      <c r="AT311" s="18" t="s">
        <v>193</v>
      </c>
      <c r="AU311" s="18" t="s">
        <v>20</v>
      </c>
    </row>
    <row r="312" spans="2:65" s="1" customFormat="1" ht="16.5" customHeight="1" x14ac:dyDescent="0.3">
      <c r="B312" s="33"/>
      <c r="C312" s="172" t="s">
        <v>1118</v>
      </c>
      <c r="D312" s="172" t="s">
        <v>271</v>
      </c>
      <c r="E312" s="173" t="s">
        <v>1134</v>
      </c>
      <c r="F312" s="174" t="s">
        <v>1135</v>
      </c>
      <c r="G312" s="175" t="s">
        <v>557</v>
      </c>
      <c r="H312" s="176">
        <v>4</v>
      </c>
      <c r="I312" s="177">
        <v>9520.2999999999993</v>
      </c>
      <c r="J312" s="178">
        <f>ROUND(I312*H312,2)</f>
        <v>38081.199999999997</v>
      </c>
      <c r="K312" s="174" t="s">
        <v>190</v>
      </c>
      <c r="L312" s="179"/>
      <c r="M312" s="180" t="s">
        <v>1</v>
      </c>
      <c r="N312" s="181" t="s">
        <v>47</v>
      </c>
      <c r="O312" s="147">
        <v>0</v>
      </c>
      <c r="P312" s="147">
        <f>O312*H312</f>
        <v>0</v>
      </c>
      <c r="Q312" s="147">
        <v>2.9499999999999998E-2</v>
      </c>
      <c r="R312" s="147">
        <f>Q312*H312</f>
        <v>0.11799999999999999</v>
      </c>
      <c r="S312" s="147">
        <v>0</v>
      </c>
      <c r="T312" s="148">
        <f>S312*H312</f>
        <v>0</v>
      </c>
      <c r="AR312" s="149" t="s">
        <v>392</v>
      </c>
      <c r="AT312" s="149" t="s">
        <v>271</v>
      </c>
      <c r="AU312" s="149" t="s">
        <v>20</v>
      </c>
      <c r="AY312" s="18" t="s">
        <v>184</v>
      </c>
      <c r="BE312" s="150">
        <f>IF(N312="základní",J312,0)</f>
        <v>38081.199999999997</v>
      </c>
      <c r="BF312" s="150">
        <f>IF(N312="snížená",J312,0)</f>
        <v>0</v>
      </c>
      <c r="BG312" s="150">
        <f>IF(N312="zákl. přenesená",J312,0)</f>
        <v>0</v>
      </c>
      <c r="BH312" s="150">
        <f>IF(N312="sníž. přenesená",J312,0)</f>
        <v>0</v>
      </c>
      <c r="BI312" s="150">
        <f>IF(N312="nulová",J312,0)</f>
        <v>0</v>
      </c>
      <c r="BJ312" s="18" t="s">
        <v>88</v>
      </c>
      <c r="BK312" s="150">
        <f>ROUND(I312*H312,2)</f>
        <v>38081.199999999997</v>
      </c>
      <c r="BL312" s="18" t="s">
        <v>287</v>
      </c>
      <c r="BM312" s="149" t="s">
        <v>2056</v>
      </c>
    </row>
    <row r="313" spans="2:65" s="11" customFormat="1" ht="25.9" customHeight="1" x14ac:dyDescent="0.2">
      <c r="B313" s="127"/>
      <c r="D313" s="128" t="s">
        <v>80</v>
      </c>
      <c r="E313" s="129" t="s">
        <v>1142</v>
      </c>
      <c r="F313" s="129" t="s">
        <v>1143</v>
      </c>
      <c r="I313" s="171"/>
      <c r="J313" s="130">
        <f>BK313</f>
        <v>174067.26</v>
      </c>
      <c r="L313" s="127"/>
      <c r="M313" s="131"/>
      <c r="P313" s="132">
        <f>P314+P321</f>
        <v>0</v>
      </c>
      <c r="R313" s="132">
        <f>R314+R321</f>
        <v>0</v>
      </c>
      <c r="T313" s="133">
        <f>T314+T321</f>
        <v>0</v>
      </c>
      <c r="AR313" s="128" t="s">
        <v>214</v>
      </c>
      <c r="AT313" s="134" t="s">
        <v>80</v>
      </c>
      <c r="AU313" s="134" t="s">
        <v>81</v>
      </c>
      <c r="AY313" s="128" t="s">
        <v>184</v>
      </c>
      <c r="BK313" s="135">
        <f>BK314+BK321</f>
        <v>174067.26</v>
      </c>
    </row>
    <row r="314" spans="2:65" s="11" customFormat="1" ht="22.9" customHeight="1" x14ac:dyDescent="0.2">
      <c r="B314" s="127"/>
      <c r="D314" s="128" t="s">
        <v>80</v>
      </c>
      <c r="E314" s="136" t="s">
        <v>1144</v>
      </c>
      <c r="F314" s="136" t="s">
        <v>1145</v>
      </c>
      <c r="I314" s="171"/>
      <c r="J314" s="137">
        <f>BK314</f>
        <v>151238.89000000001</v>
      </c>
      <c r="L314" s="127"/>
      <c r="M314" s="131"/>
      <c r="P314" s="132">
        <f>SUM(P315:P320)</f>
        <v>0</v>
      </c>
      <c r="R314" s="132">
        <f>SUM(R315:R320)</f>
        <v>0</v>
      </c>
      <c r="T314" s="133">
        <f>SUM(T315:T320)</f>
        <v>0</v>
      </c>
      <c r="AR314" s="128" t="s">
        <v>214</v>
      </c>
      <c r="AT314" s="134" t="s">
        <v>80</v>
      </c>
      <c r="AU314" s="134" t="s">
        <v>88</v>
      </c>
      <c r="AY314" s="128" t="s">
        <v>184</v>
      </c>
      <c r="BK314" s="135">
        <f>SUM(BK315:BK320)</f>
        <v>151238.89000000001</v>
      </c>
    </row>
    <row r="315" spans="2:65" s="1" customFormat="1" ht="16.5" customHeight="1" x14ac:dyDescent="0.3">
      <c r="B315" s="33"/>
      <c r="C315" s="138" t="s">
        <v>1122</v>
      </c>
      <c r="D315" s="138" t="s">
        <v>186</v>
      </c>
      <c r="E315" s="139" t="s">
        <v>1147</v>
      </c>
      <c r="F315" s="140" t="s">
        <v>1148</v>
      </c>
      <c r="G315" s="141" t="s">
        <v>2057</v>
      </c>
      <c r="H315" s="142">
        <v>8</v>
      </c>
      <c r="I315" s="143">
        <v>7133.87</v>
      </c>
      <c r="J315" s="144">
        <f>ROUND(I315*H315,2)</f>
        <v>57070.96</v>
      </c>
      <c r="K315" s="140" t="s">
        <v>1</v>
      </c>
      <c r="L315" s="33"/>
      <c r="M315" s="145" t="s">
        <v>1</v>
      </c>
      <c r="N315" s="146" t="s">
        <v>47</v>
      </c>
      <c r="O315" s="147">
        <v>0</v>
      </c>
      <c r="P315" s="147">
        <f>O315*H315</f>
        <v>0</v>
      </c>
      <c r="Q315" s="147">
        <v>0</v>
      </c>
      <c r="R315" s="147">
        <f>Q315*H315</f>
        <v>0</v>
      </c>
      <c r="S315" s="147">
        <v>0</v>
      </c>
      <c r="T315" s="148">
        <f>S315*H315</f>
        <v>0</v>
      </c>
      <c r="AR315" s="149" t="s">
        <v>1150</v>
      </c>
      <c r="AT315" s="149" t="s">
        <v>186</v>
      </c>
      <c r="AU315" s="149" t="s">
        <v>20</v>
      </c>
      <c r="AY315" s="18" t="s">
        <v>184</v>
      </c>
      <c r="BE315" s="150">
        <f>IF(N315="základní",J315,0)</f>
        <v>57070.96</v>
      </c>
      <c r="BF315" s="150">
        <f>IF(N315="snížená",J315,0)</f>
        <v>0</v>
      </c>
      <c r="BG315" s="150">
        <f>IF(N315="zákl. přenesená",J315,0)</f>
        <v>0</v>
      </c>
      <c r="BH315" s="150">
        <f>IF(N315="sníž. přenesená",J315,0)</f>
        <v>0</v>
      </c>
      <c r="BI315" s="150">
        <f>IF(N315="nulová",J315,0)</f>
        <v>0</v>
      </c>
      <c r="BJ315" s="18" t="s">
        <v>88</v>
      </c>
      <c r="BK315" s="150">
        <f>ROUND(I315*H315,2)</f>
        <v>57070.96</v>
      </c>
      <c r="BL315" s="18" t="s">
        <v>1150</v>
      </c>
      <c r="BM315" s="149" t="s">
        <v>2058</v>
      </c>
    </row>
    <row r="316" spans="2:65" s="1" customFormat="1" ht="29.25" x14ac:dyDescent="0.3">
      <c r="B316" s="33"/>
      <c r="D316" s="156" t="s">
        <v>236</v>
      </c>
      <c r="F316" s="170" t="s">
        <v>2059</v>
      </c>
      <c r="I316" s="153"/>
      <c r="L316" s="33"/>
      <c r="M316" s="154"/>
      <c r="T316" s="57"/>
      <c r="AT316" s="18" t="s">
        <v>236</v>
      </c>
      <c r="AU316" s="18" t="s">
        <v>20</v>
      </c>
    </row>
    <row r="317" spans="2:65" s="1" customFormat="1" ht="16.5" customHeight="1" x14ac:dyDescent="0.3">
      <c r="B317" s="33"/>
      <c r="C317" s="138" t="s">
        <v>1128</v>
      </c>
      <c r="D317" s="138" t="s">
        <v>186</v>
      </c>
      <c r="E317" s="139" t="s">
        <v>1155</v>
      </c>
      <c r="F317" s="140" t="s">
        <v>1156</v>
      </c>
      <c r="G317" s="141" t="s">
        <v>1149</v>
      </c>
      <c r="H317" s="142">
        <v>4</v>
      </c>
      <c r="I317" s="143">
        <v>19975.05</v>
      </c>
      <c r="J317" s="144">
        <f>ROUND(I317*H317,2)</f>
        <v>79900.2</v>
      </c>
      <c r="K317" s="140" t="s">
        <v>1</v>
      </c>
      <c r="L317" s="33"/>
      <c r="M317" s="145" t="s">
        <v>1</v>
      </c>
      <c r="N317" s="146" t="s">
        <v>47</v>
      </c>
      <c r="O317" s="147">
        <v>0</v>
      </c>
      <c r="P317" s="147">
        <f>O317*H317</f>
        <v>0</v>
      </c>
      <c r="Q317" s="147">
        <v>0</v>
      </c>
      <c r="R317" s="147">
        <f>Q317*H317</f>
        <v>0</v>
      </c>
      <c r="S317" s="147">
        <v>0</v>
      </c>
      <c r="T317" s="148">
        <f>S317*H317</f>
        <v>0</v>
      </c>
      <c r="AR317" s="149" t="s">
        <v>1150</v>
      </c>
      <c r="AT317" s="149" t="s">
        <v>186</v>
      </c>
      <c r="AU317" s="149" t="s">
        <v>20</v>
      </c>
      <c r="AY317" s="18" t="s">
        <v>184</v>
      </c>
      <c r="BE317" s="150">
        <f>IF(N317="základní",J317,0)</f>
        <v>79900.2</v>
      </c>
      <c r="BF317" s="150">
        <f>IF(N317="snížená",J317,0)</f>
        <v>0</v>
      </c>
      <c r="BG317" s="150">
        <f>IF(N317="zákl. přenesená",J317,0)</f>
        <v>0</v>
      </c>
      <c r="BH317" s="150">
        <f>IF(N317="sníž. přenesená",J317,0)</f>
        <v>0</v>
      </c>
      <c r="BI317" s="150">
        <f>IF(N317="nulová",J317,0)</f>
        <v>0</v>
      </c>
      <c r="BJ317" s="18" t="s">
        <v>88</v>
      </c>
      <c r="BK317" s="150">
        <f>ROUND(I317*H317,2)</f>
        <v>79900.2</v>
      </c>
      <c r="BL317" s="18" t="s">
        <v>1150</v>
      </c>
      <c r="BM317" s="149" t="s">
        <v>2060</v>
      </c>
    </row>
    <row r="318" spans="2:65" s="1" customFormat="1" ht="19.5" x14ac:dyDescent="0.3">
      <c r="B318" s="33"/>
      <c r="D318" s="156" t="s">
        <v>236</v>
      </c>
      <c r="F318" s="170" t="s">
        <v>2061</v>
      </c>
      <c r="I318" s="153"/>
      <c r="L318" s="33"/>
      <c r="M318" s="154"/>
      <c r="T318" s="57"/>
      <c r="AT318" s="18" t="s">
        <v>236</v>
      </c>
      <c r="AU318" s="18" t="s">
        <v>20</v>
      </c>
    </row>
    <row r="319" spans="2:65" s="1" customFormat="1" ht="16.5" customHeight="1" x14ac:dyDescent="0.3">
      <c r="B319" s="33"/>
      <c r="C319" s="138" t="s">
        <v>1133</v>
      </c>
      <c r="D319" s="138" t="s">
        <v>186</v>
      </c>
      <c r="E319" s="139" t="s">
        <v>1160</v>
      </c>
      <c r="F319" s="140" t="s">
        <v>1161</v>
      </c>
      <c r="G319" s="141" t="s">
        <v>1149</v>
      </c>
      <c r="H319" s="142">
        <v>1</v>
      </c>
      <c r="I319" s="143">
        <v>14267.73</v>
      </c>
      <c r="J319" s="144">
        <f>ROUND(I319*H319,2)</f>
        <v>14267.73</v>
      </c>
      <c r="K319" s="140" t="s">
        <v>1</v>
      </c>
      <c r="L319" s="33"/>
      <c r="M319" s="145" t="s">
        <v>1</v>
      </c>
      <c r="N319" s="146" t="s">
        <v>47</v>
      </c>
      <c r="O319" s="147">
        <v>0</v>
      </c>
      <c r="P319" s="147">
        <f>O319*H319</f>
        <v>0</v>
      </c>
      <c r="Q319" s="147">
        <v>0</v>
      </c>
      <c r="R319" s="147">
        <f>Q319*H319</f>
        <v>0</v>
      </c>
      <c r="S319" s="147">
        <v>0</v>
      </c>
      <c r="T319" s="148">
        <f>S319*H319</f>
        <v>0</v>
      </c>
      <c r="AR319" s="149" t="s">
        <v>1150</v>
      </c>
      <c r="AT319" s="149" t="s">
        <v>186</v>
      </c>
      <c r="AU319" s="149" t="s">
        <v>20</v>
      </c>
      <c r="AY319" s="18" t="s">
        <v>184</v>
      </c>
      <c r="BE319" s="150">
        <f>IF(N319="základní",J319,0)</f>
        <v>14267.73</v>
      </c>
      <c r="BF319" s="150">
        <f>IF(N319="snížená",J319,0)</f>
        <v>0</v>
      </c>
      <c r="BG319" s="150">
        <f>IF(N319="zákl. přenesená",J319,0)</f>
        <v>0</v>
      </c>
      <c r="BH319" s="150">
        <f>IF(N319="sníž. přenesená",J319,0)</f>
        <v>0</v>
      </c>
      <c r="BI319" s="150">
        <f>IF(N319="nulová",J319,0)</f>
        <v>0</v>
      </c>
      <c r="BJ319" s="18" t="s">
        <v>88</v>
      </c>
      <c r="BK319" s="150">
        <f>ROUND(I319*H319,2)</f>
        <v>14267.73</v>
      </c>
      <c r="BL319" s="18" t="s">
        <v>1150</v>
      </c>
      <c r="BM319" s="149" t="s">
        <v>2062</v>
      </c>
    </row>
    <row r="320" spans="2:65" s="1" customFormat="1" ht="29.25" x14ac:dyDescent="0.3">
      <c r="B320" s="33"/>
      <c r="D320" s="156" t="s">
        <v>236</v>
      </c>
      <c r="F320" s="170" t="s">
        <v>2063</v>
      </c>
      <c r="I320" s="153"/>
      <c r="L320" s="33"/>
      <c r="M320" s="154"/>
      <c r="T320" s="57"/>
      <c r="AT320" s="18" t="s">
        <v>236</v>
      </c>
      <c r="AU320" s="18" t="s">
        <v>20</v>
      </c>
    </row>
    <row r="321" spans="2:65" s="11" customFormat="1" ht="22.9" customHeight="1" x14ac:dyDescent="0.2">
      <c r="B321" s="127"/>
      <c r="D321" s="128" t="s">
        <v>80</v>
      </c>
      <c r="E321" s="136" t="s">
        <v>2064</v>
      </c>
      <c r="F321" s="136" t="s">
        <v>2065</v>
      </c>
      <c r="I321" s="171"/>
      <c r="J321" s="137">
        <f>BK321</f>
        <v>22828.37</v>
      </c>
      <c r="L321" s="127"/>
      <c r="M321" s="131"/>
      <c r="P321" s="132">
        <f>SUM(P322:P323)</f>
        <v>0</v>
      </c>
      <c r="R321" s="132">
        <f>SUM(R322:R323)</f>
        <v>0</v>
      </c>
      <c r="T321" s="133">
        <f>SUM(T322:T323)</f>
        <v>0</v>
      </c>
      <c r="AR321" s="128" t="s">
        <v>214</v>
      </c>
      <c r="AT321" s="134" t="s">
        <v>80</v>
      </c>
      <c r="AU321" s="134" t="s">
        <v>88</v>
      </c>
      <c r="AY321" s="128" t="s">
        <v>184</v>
      </c>
      <c r="BK321" s="135">
        <f>SUM(BK322:BK323)</f>
        <v>22828.37</v>
      </c>
    </row>
    <row r="322" spans="2:65" s="1" customFormat="1" ht="16.5" customHeight="1" x14ac:dyDescent="0.3">
      <c r="B322" s="33"/>
      <c r="C322" s="138" t="s">
        <v>1137</v>
      </c>
      <c r="D322" s="138" t="s">
        <v>186</v>
      </c>
      <c r="E322" s="139" t="s">
        <v>2066</v>
      </c>
      <c r="F322" s="140" t="s">
        <v>2065</v>
      </c>
      <c r="G322" s="141" t="s">
        <v>1149</v>
      </c>
      <c r="H322" s="142">
        <v>1</v>
      </c>
      <c r="I322" s="143">
        <v>22828.37</v>
      </c>
      <c r="J322" s="144">
        <f>ROUND(I322*H322,2)</f>
        <v>22828.37</v>
      </c>
      <c r="K322" s="140" t="s">
        <v>1</v>
      </c>
      <c r="L322" s="33"/>
      <c r="M322" s="145" t="s">
        <v>1</v>
      </c>
      <c r="N322" s="146" t="s">
        <v>47</v>
      </c>
      <c r="O322" s="147">
        <v>0</v>
      </c>
      <c r="P322" s="147">
        <f>O322*H322</f>
        <v>0</v>
      </c>
      <c r="Q322" s="147">
        <v>0</v>
      </c>
      <c r="R322" s="147">
        <f>Q322*H322</f>
        <v>0</v>
      </c>
      <c r="S322" s="147">
        <v>0</v>
      </c>
      <c r="T322" s="148">
        <f>S322*H322</f>
        <v>0</v>
      </c>
      <c r="AR322" s="149" t="s">
        <v>1150</v>
      </c>
      <c r="AT322" s="149" t="s">
        <v>186</v>
      </c>
      <c r="AU322" s="149" t="s">
        <v>20</v>
      </c>
      <c r="AY322" s="18" t="s">
        <v>184</v>
      </c>
      <c r="BE322" s="150">
        <f>IF(N322="základní",J322,0)</f>
        <v>22828.37</v>
      </c>
      <c r="BF322" s="150">
        <f>IF(N322="snížená",J322,0)</f>
        <v>0</v>
      </c>
      <c r="BG322" s="150">
        <f>IF(N322="zákl. přenesená",J322,0)</f>
        <v>0</v>
      </c>
      <c r="BH322" s="150">
        <f>IF(N322="sníž. přenesená",J322,0)</f>
        <v>0</v>
      </c>
      <c r="BI322" s="150">
        <f>IF(N322="nulová",J322,0)</f>
        <v>0</v>
      </c>
      <c r="BJ322" s="18" t="s">
        <v>88</v>
      </c>
      <c r="BK322" s="150">
        <f>ROUND(I322*H322,2)</f>
        <v>22828.37</v>
      </c>
      <c r="BL322" s="18" t="s">
        <v>1150</v>
      </c>
      <c r="BM322" s="149" t="s">
        <v>2067</v>
      </c>
    </row>
    <row r="323" spans="2:65" s="1" customFormat="1" ht="29.25" x14ac:dyDescent="0.3">
      <c r="B323" s="33"/>
      <c r="D323" s="156" t="s">
        <v>236</v>
      </c>
      <c r="F323" s="170" t="s">
        <v>2068</v>
      </c>
      <c r="I323" s="153"/>
      <c r="L323" s="33"/>
      <c r="M323" s="189"/>
      <c r="N323" s="190"/>
      <c r="O323" s="190"/>
      <c r="P323" s="190"/>
      <c r="Q323" s="190"/>
      <c r="R323" s="190"/>
      <c r="S323" s="190"/>
      <c r="T323" s="191"/>
      <c r="AT323" s="18" t="s">
        <v>236</v>
      </c>
      <c r="AU323" s="18" t="s">
        <v>20</v>
      </c>
    </row>
    <row r="324" spans="2:65" s="1" customFormat="1" ht="6.95" customHeight="1" x14ac:dyDescent="0.3">
      <c r="B324" s="45"/>
      <c r="C324" s="46"/>
      <c r="D324" s="46"/>
      <c r="E324" s="46"/>
      <c r="F324" s="46"/>
      <c r="G324" s="46"/>
      <c r="H324" s="46"/>
      <c r="I324" s="188"/>
      <c r="J324" s="46"/>
      <c r="K324" s="46"/>
      <c r="L324" s="33"/>
    </row>
  </sheetData>
  <sheetProtection sheet="1" objects="1" scenarios="1"/>
  <autoFilter ref="C126:K355" xr:uid="{82E65DD6-6FE0-4E5F-8369-D1EF24F9303F}"/>
  <mergeCells count="8">
    <mergeCell ref="E48:H48"/>
    <mergeCell ref="E50:H50"/>
    <mergeCell ref="E82:H82"/>
    <mergeCell ref="E84:H84"/>
    <mergeCell ref="L2:V2"/>
    <mergeCell ref="E7:H7"/>
    <mergeCell ref="E9:H9"/>
    <mergeCell ref="E27:H27"/>
  </mergeCells>
  <hyperlinks>
    <hyperlink ref="F96" r:id="rId1" xr:uid="{645E624B-1075-43B5-94FB-375EF10EC78B}"/>
    <hyperlink ref="F99" r:id="rId2" xr:uid="{32DD39DF-1D16-40FC-9A20-5F59DE56E598}"/>
    <hyperlink ref="F102" r:id="rId3" xr:uid="{1D695BFE-7533-4B84-AFD0-44C74A42D5F7}"/>
    <hyperlink ref="F105" r:id="rId4" xr:uid="{CAFA763B-2018-42A6-82E5-471BB2842CDE}"/>
    <hyperlink ref="F108" r:id="rId5" xr:uid="{D489CAB9-69D7-4EE1-B4C5-EC7B87DEBAB4}"/>
    <hyperlink ref="F111" r:id="rId6" xr:uid="{43B34637-D9D7-4A86-B22F-F4C019B85B0C}"/>
    <hyperlink ref="F117" r:id="rId7" xr:uid="{FA42B599-CAA2-4312-AB4E-D64B60F7A019}"/>
    <hyperlink ref="F120" r:id="rId8" xr:uid="{C36A0587-BDFD-4C8B-83DC-3F908A2DDC8D}"/>
    <hyperlink ref="F125" r:id="rId9" xr:uid="{719A8BA3-C40E-4C6D-830E-6E3CB8A3188E}"/>
    <hyperlink ref="F131" r:id="rId10" xr:uid="{68A6E1D0-FDDD-419F-9006-B6AB8BDB584B}"/>
    <hyperlink ref="F135" r:id="rId11" xr:uid="{AC3235C4-8B81-462E-82AC-BE0E6D5A0016}"/>
    <hyperlink ref="F137" r:id="rId12" xr:uid="{D8DA6EF1-7F9F-43C8-A001-0C20428766D7}"/>
    <hyperlink ref="F140" r:id="rId13" xr:uid="{B84BEDE1-3B26-46A7-A9F5-613E85B1D180}"/>
    <hyperlink ref="F144" r:id="rId14" xr:uid="{5AFF7A98-DBF9-4807-85B1-D325B3ACC616}"/>
    <hyperlink ref="F147" r:id="rId15" xr:uid="{410C9592-DDC0-47B3-9F1C-39449E48248E}"/>
    <hyperlink ref="F158" r:id="rId16" xr:uid="{C1C417F5-0076-4442-A357-5680B2A9D569}"/>
    <hyperlink ref="F166" r:id="rId17" xr:uid="{C8256B4E-1E85-430D-868F-597EE3AF6ED7}"/>
    <hyperlink ref="F171" r:id="rId18" xr:uid="{0A48CA19-ADC0-4B39-ACE7-A14E9887E861}"/>
    <hyperlink ref="F176" r:id="rId19" xr:uid="{E0DC8D45-4F97-48D8-A3AB-DB303640C38F}"/>
    <hyperlink ref="F179" r:id="rId20" xr:uid="{3A6CD697-BCB6-4D02-B996-4DCCA95C5AFE}"/>
    <hyperlink ref="F183" r:id="rId21" xr:uid="{B735885E-EEFF-4728-8041-1AA86B932F7E}"/>
    <hyperlink ref="F194" r:id="rId22" xr:uid="{980EC5EA-188C-41CC-B411-0678F228980D}"/>
    <hyperlink ref="F196" r:id="rId23" xr:uid="{F769ABB0-C401-4227-8D99-4E245FBD2487}"/>
    <hyperlink ref="F202" r:id="rId24" xr:uid="{44B21AFA-68D0-411B-A868-C2DCA192DF20}"/>
    <hyperlink ref="F207" r:id="rId25" xr:uid="{C55EB1DA-EC78-4F15-BFB8-C314C329DB3F}"/>
    <hyperlink ref="F213" r:id="rId26" xr:uid="{D73B333D-F5AE-4F36-8F27-5CB47C2E7D03}"/>
    <hyperlink ref="F217" r:id="rId27" xr:uid="{DBAEF46E-465C-4EC4-ADDA-B6B1B47073EE}"/>
    <hyperlink ref="F221" r:id="rId28" xr:uid="{79E38744-A364-455A-9BF3-0FCA527D41BA}"/>
    <hyperlink ref="F224" r:id="rId29" xr:uid="{2E376383-BE7B-4E05-B747-87C2D6E7C5B1}"/>
    <hyperlink ref="F227" r:id="rId30" xr:uid="{FEF45832-4E5F-411A-BF57-3D507C9B739E}"/>
    <hyperlink ref="F230" r:id="rId31" xr:uid="{B494E030-93C5-43D3-98CA-F341AFEF4B4D}"/>
    <hyperlink ref="F233" r:id="rId32" xr:uid="{6C78A944-5D8E-400A-B55F-DBAC36F8200C}"/>
    <hyperlink ref="F240" r:id="rId33" xr:uid="{B5086061-46A3-4C5C-8F5A-B2A594656BCA}"/>
    <hyperlink ref="F243" r:id="rId34" xr:uid="{49E4AA38-8F48-42A4-A40D-C64402DBC764}"/>
    <hyperlink ref="F246" r:id="rId35" xr:uid="{1FAC51A7-7E49-4DE0-BBD3-544547954B92}"/>
    <hyperlink ref="F250" r:id="rId36" xr:uid="{A5B274B9-72A8-48D8-ADB0-8ABA507868A2}"/>
    <hyperlink ref="F253" r:id="rId37" xr:uid="{99F8B1BA-A2E2-4BA0-A462-E85B317C37C4}"/>
    <hyperlink ref="F257" r:id="rId38" xr:uid="{C41D7C8A-A373-49F0-A0FC-4E404331E359}"/>
    <hyperlink ref="F261" r:id="rId39" xr:uid="{C401F172-6D7C-43D6-8B68-B2A47283B0BE}"/>
    <hyperlink ref="F264" r:id="rId40" xr:uid="{9322D976-6ACB-4A43-95A2-AA6C0461E9C6}"/>
    <hyperlink ref="F267" r:id="rId41" xr:uid="{E99FF457-0316-45FF-B4B8-8A190BCA7A0E}"/>
    <hyperlink ref="F272" r:id="rId42" xr:uid="{DC6D91D7-26FE-4EE6-B971-D0E5B5C461F5}"/>
    <hyperlink ref="F275" r:id="rId43" xr:uid="{6CA328EF-A58D-4EF1-A6C2-5BF7AE3163C8}"/>
    <hyperlink ref="F279" r:id="rId44" xr:uid="{692CA4E1-84D5-4EE3-839E-2E86D0EE787D}"/>
    <hyperlink ref="F285" r:id="rId45" xr:uid="{DAFD1FD2-071C-4D65-80AE-819DBB0903B2}"/>
    <hyperlink ref="F289" r:id="rId46" xr:uid="{E70FD6DC-7769-44B5-A998-59AFD7B9A8B5}"/>
    <hyperlink ref="F294" r:id="rId47" xr:uid="{99409A63-5D53-40EB-99C9-3BCD110A5341}"/>
    <hyperlink ref="F299" r:id="rId48" xr:uid="{63F65C2A-0E7E-42FF-B652-EBB19A03CF13}"/>
    <hyperlink ref="F302" r:id="rId49" xr:uid="{ECD0DBFB-75F6-4BE4-BAE8-769D91BA0D0E}"/>
    <hyperlink ref="F305" r:id="rId50" xr:uid="{16BA888E-6B53-4543-8565-47D5458EF2B9}"/>
    <hyperlink ref="F307" r:id="rId51" xr:uid="{1C6E4620-DF58-4306-B889-414109286C68}"/>
    <hyperlink ref="F311" r:id="rId52" xr:uid="{BF64217F-A673-45C8-ABD6-FCDCAEF0CB1D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5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CBB51-ABC3-41A3-8EFD-DFF83F7187E2}">
  <sheetPr>
    <tabColor indexed="54"/>
    <pageSetUpPr fitToPage="1"/>
  </sheetPr>
  <dimension ref="B2:BM182"/>
  <sheetViews>
    <sheetView showGridLines="0" zoomScaleNormal="100" workbookViewId="0">
      <selection activeCell="I96" sqref="I96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138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2069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ROUND(J87, 2)</f>
        <v>687476.4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ROUND((SUM(BE87:BE181)),  2)</f>
        <v>687476.4</v>
      </c>
      <c r="I33" s="99">
        <v>0.21</v>
      </c>
      <c r="J33" s="98">
        <f>ROUND(((SUM(BE87:BE181))*I33),  2)</f>
        <v>144370.04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ROUND((SUM(BF87:BF181)),  2)</f>
        <v>0</v>
      </c>
      <c r="I34" s="99">
        <v>0.15</v>
      </c>
      <c r="J34" s="98">
        <f>ROUND(((SUM(BF87:BF181))*I34),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ROUND((SUM(BG87:BG181)),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ROUND((SUM(BH87:BH181)),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ROUND((SUM(BI87:BI181)),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F38" s="208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831846.44000000006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401.II - Veřejné osvětlení a rozhlas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J87</f>
        <v>687476.4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J88</f>
        <v>9274.0499999999993</v>
      </c>
      <c r="L60" s="111"/>
    </row>
    <row r="61" spans="2:47" s="9" customFormat="1" ht="19.899999999999999" customHeight="1" x14ac:dyDescent="0.3">
      <c r="B61" s="115"/>
      <c r="D61" s="116" t="s">
        <v>163</v>
      </c>
      <c r="E61" s="117"/>
      <c r="F61" s="117"/>
      <c r="G61" s="117"/>
      <c r="H61" s="117"/>
      <c r="I61" s="117"/>
      <c r="J61" s="118">
        <f>J89</f>
        <v>9274.0499999999993</v>
      </c>
      <c r="L61" s="115"/>
    </row>
    <row r="62" spans="2:47" s="8" customFormat="1" ht="24.95" customHeight="1" x14ac:dyDescent="0.3">
      <c r="B62" s="111"/>
      <c r="D62" s="112" t="s">
        <v>166</v>
      </c>
      <c r="E62" s="113"/>
      <c r="F62" s="113"/>
      <c r="G62" s="113"/>
      <c r="H62" s="113"/>
      <c r="I62" s="113"/>
      <c r="J62" s="114">
        <f>J92</f>
        <v>209785.07</v>
      </c>
      <c r="L62" s="111"/>
    </row>
    <row r="63" spans="2:47" s="9" customFormat="1" ht="19.899999999999999" customHeight="1" x14ac:dyDescent="0.3">
      <c r="B63" s="115"/>
      <c r="D63" s="116" t="s">
        <v>1173</v>
      </c>
      <c r="E63" s="117"/>
      <c r="F63" s="117"/>
      <c r="G63" s="117"/>
      <c r="H63" s="117"/>
      <c r="I63" s="117"/>
      <c r="J63" s="118">
        <f>J93</f>
        <v>209785.07</v>
      </c>
      <c r="L63" s="115"/>
    </row>
    <row r="64" spans="2:47" s="8" customFormat="1" ht="24.95" customHeight="1" x14ac:dyDescent="0.3">
      <c r="B64" s="111"/>
      <c r="D64" s="112" t="s">
        <v>1174</v>
      </c>
      <c r="E64" s="113"/>
      <c r="F64" s="113"/>
      <c r="G64" s="113"/>
      <c r="H64" s="113"/>
      <c r="I64" s="113"/>
      <c r="J64" s="114">
        <f>J130</f>
        <v>468417.28000000003</v>
      </c>
      <c r="L64" s="111"/>
    </row>
    <row r="65" spans="2:12" s="9" customFormat="1" ht="19.899999999999999" customHeight="1" x14ac:dyDescent="0.3">
      <c r="B65" s="115"/>
      <c r="D65" s="116" t="s">
        <v>1175</v>
      </c>
      <c r="E65" s="117"/>
      <c r="F65" s="117"/>
      <c r="G65" s="117"/>
      <c r="H65" s="117"/>
      <c r="I65" s="117"/>
      <c r="J65" s="118">
        <f>J131</f>
        <v>242698.05999999997</v>
      </c>
      <c r="L65" s="115"/>
    </row>
    <row r="66" spans="2:12" s="9" customFormat="1" ht="19.899999999999999" customHeight="1" x14ac:dyDescent="0.3">
      <c r="B66" s="115"/>
      <c r="D66" s="116" t="s">
        <v>1176</v>
      </c>
      <c r="E66" s="117"/>
      <c r="F66" s="117"/>
      <c r="G66" s="117"/>
      <c r="H66" s="117"/>
      <c r="I66" s="117"/>
      <c r="J66" s="118">
        <f>J146</f>
        <v>69198.570000000007</v>
      </c>
      <c r="L66" s="115"/>
    </row>
    <row r="67" spans="2:12" s="9" customFormat="1" ht="19.899999999999999" customHeight="1" x14ac:dyDescent="0.3">
      <c r="B67" s="115"/>
      <c r="D67" s="116" t="s">
        <v>1177</v>
      </c>
      <c r="E67" s="117"/>
      <c r="F67" s="117"/>
      <c r="G67" s="117"/>
      <c r="H67" s="117"/>
      <c r="I67" s="117"/>
      <c r="J67" s="118">
        <f>J153</f>
        <v>156520.65000000002</v>
      </c>
      <c r="L67" s="115"/>
    </row>
    <row r="68" spans="2:12" s="1" customFormat="1" ht="21.75" customHeight="1" x14ac:dyDescent="0.3">
      <c r="B68" s="33"/>
      <c r="L68" s="33"/>
    </row>
    <row r="69" spans="2:12" s="1" customFormat="1" ht="6.95" customHeight="1" x14ac:dyDescent="0.3"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33"/>
    </row>
    <row r="73" spans="2:12" s="1" customFormat="1" ht="6.95" customHeight="1" x14ac:dyDescent="0.3"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33"/>
    </row>
    <row r="74" spans="2:12" s="1" customFormat="1" ht="24.95" customHeight="1" x14ac:dyDescent="0.3">
      <c r="B74" s="33"/>
      <c r="C74" s="22" t="s">
        <v>168</v>
      </c>
      <c r="L74" s="33"/>
    </row>
    <row r="75" spans="2:12" s="1" customFormat="1" ht="6.95" customHeight="1" x14ac:dyDescent="0.3">
      <c r="B75" s="33"/>
      <c r="L75" s="33"/>
    </row>
    <row r="76" spans="2:12" s="1" customFormat="1" ht="12" customHeight="1" x14ac:dyDescent="0.3">
      <c r="B76" s="33"/>
      <c r="C76" s="28" t="s">
        <v>15</v>
      </c>
      <c r="L76" s="33"/>
    </row>
    <row r="77" spans="2:12" s="1" customFormat="1" ht="16.5" customHeight="1" x14ac:dyDescent="0.3">
      <c r="B77" s="33"/>
      <c r="E77" s="324" t="str">
        <f>E7</f>
        <v>Obnova ulice Tyršova, Dobrovice - II. etapa</v>
      </c>
      <c r="F77" s="325"/>
      <c r="G77" s="325"/>
      <c r="H77" s="325"/>
      <c r="L77" s="33"/>
    </row>
    <row r="78" spans="2:12" s="1" customFormat="1" ht="12" customHeight="1" x14ac:dyDescent="0.3">
      <c r="B78" s="33"/>
      <c r="C78" s="28" t="s">
        <v>152</v>
      </c>
      <c r="L78" s="33"/>
    </row>
    <row r="79" spans="2:12" s="1" customFormat="1" ht="16.5" customHeight="1" x14ac:dyDescent="0.3">
      <c r="B79" s="33"/>
      <c r="E79" s="308" t="str">
        <f>E9</f>
        <v>SO 401.II - Veřejné osvětlení a rozhlas II. etapa</v>
      </c>
      <c r="F79" s="326"/>
      <c r="G79" s="326"/>
      <c r="H79" s="326"/>
      <c r="L79" s="33"/>
    </row>
    <row r="80" spans="2:12" s="1" customFormat="1" ht="6.95" customHeight="1" x14ac:dyDescent="0.3">
      <c r="B80" s="33"/>
      <c r="L80" s="33"/>
    </row>
    <row r="81" spans="2:65" s="1" customFormat="1" ht="12" customHeight="1" x14ac:dyDescent="0.3">
      <c r="B81" s="33"/>
      <c r="C81" s="28" t="s">
        <v>21</v>
      </c>
      <c r="F81" s="26" t="str">
        <f>F12</f>
        <v>Dobrovice</v>
      </c>
      <c r="I81" s="28" t="s">
        <v>23</v>
      </c>
      <c r="J81" s="53">
        <f>IF(J12="","",J12)</f>
        <v>45678</v>
      </c>
      <c r="L81" s="33"/>
    </row>
    <row r="82" spans="2:65" s="1" customFormat="1" ht="6.95" customHeight="1" x14ac:dyDescent="0.3">
      <c r="B82" s="33"/>
      <c r="L82" s="33"/>
    </row>
    <row r="83" spans="2:65" s="1" customFormat="1" ht="25.7" customHeight="1" x14ac:dyDescent="0.3">
      <c r="B83" s="33"/>
      <c r="C83" s="28" t="s">
        <v>28</v>
      </c>
      <c r="F83" s="26" t="str">
        <f>E15</f>
        <v>Město Dobrovice, Palckého nám. 28, 294 41</v>
      </c>
      <c r="I83" s="28" t="s">
        <v>34</v>
      </c>
      <c r="J83" s="96" t="str">
        <f>E21</f>
        <v>Ing. arch. Martin Jirovský Ph.D., MBA</v>
      </c>
      <c r="L83" s="33"/>
    </row>
    <row r="84" spans="2:65" s="1" customFormat="1" ht="40.15" customHeight="1" x14ac:dyDescent="0.3">
      <c r="B84" s="33"/>
      <c r="C84" s="28" t="s">
        <v>33</v>
      </c>
      <c r="F84" s="26">
        <f>IF(E18="","",E18)</f>
        <v>0</v>
      </c>
      <c r="I84" s="28" t="s">
        <v>38</v>
      </c>
      <c r="J84" s="96" t="str">
        <f>E24</f>
        <v>ROAD M.A.A.T. s.r.o., Petra Stejskalová</v>
      </c>
      <c r="L84" s="33"/>
    </row>
    <row r="85" spans="2:65" s="1" customFormat="1" ht="10.35" customHeight="1" x14ac:dyDescent="0.3">
      <c r="B85" s="33"/>
      <c r="L85" s="33"/>
    </row>
    <row r="86" spans="2:65" s="10" customFormat="1" ht="29.25" customHeight="1" x14ac:dyDescent="0.3">
      <c r="B86" s="119"/>
      <c r="C86" s="120" t="s">
        <v>169</v>
      </c>
      <c r="D86" s="121" t="s">
        <v>66</v>
      </c>
      <c r="E86" s="121" t="s">
        <v>63</v>
      </c>
      <c r="F86" s="121" t="s">
        <v>170</v>
      </c>
      <c r="G86" s="121" t="s">
        <v>171</v>
      </c>
      <c r="H86" s="121" t="s">
        <v>172</v>
      </c>
      <c r="I86" s="121" t="s">
        <v>173</v>
      </c>
      <c r="J86" s="121" t="s">
        <v>157</v>
      </c>
      <c r="K86" s="122" t="s">
        <v>174</v>
      </c>
      <c r="L86" s="119"/>
      <c r="M86" s="60" t="s">
        <v>1</v>
      </c>
      <c r="N86" s="61" t="s">
        <v>46</v>
      </c>
      <c r="O86" s="61" t="s">
        <v>175</v>
      </c>
      <c r="P86" s="61" t="s">
        <v>176</v>
      </c>
      <c r="Q86" s="61" t="s">
        <v>177</v>
      </c>
      <c r="R86" s="61" t="s">
        <v>178</v>
      </c>
      <c r="S86" s="61" t="s">
        <v>179</v>
      </c>
      <c r="T86" s="62" t="s">
        <v>180</v>
      </c>
    </row>
    <row r="87" spans="2:65" s="1" customFormat="1" ht="22.9" customHeight="1" x14ac:dyDescent="0.25">
      <c r="B87" s="33"/>
      <c r="C87" s="65" t="s">
        <v>181</v>
      </c>
      <c r="J87" s="123">
        <f>BK87</f>
        <v>687476.4</v>
      </c>
      <c r="L87" s="33"/>
      <c r="M87" s="63"/>
      <c r="N87" s="54"/>
      <c r="O87" s="54"/>
      <c r="P87" s="124">
        <f>P88+P92+P130</f>
        <v>291.09871399999997</v>
      </c>
      <c r="Q87" s="54"/>
      <c r="R87" s="124">
        <f>R88+R92+R130</f>
        <v>59.309730999999999</v>
      </c>
      <c r="S87" s="54"/>
      <c r="T87" s="125">
        <f>T88+T92+T130</f>
        <v>0</v>
      </c>
      <c r="AT87" s="18" t="s">
        <v>80</v>
      </c>
      <c r="AU87" s="18" t="s">
        <v>159</v>
      </c>
      <c r="BK87" s="126">
        <f>BK88+BK92+BK130</f>
        <v>687476.4</v>
      </c>
    </row>
    <row r="88" spans="2:65" s="11" customFormat="1" ht="25.9" customHeight="1" x14ac:dyDescent="0.2">
      <c r="B88" s="127"/>
      <c r="D88" s="128" t="s">
        <v>80</v>
      </c>
      <c r="E88" s="129" t="s">
        <v>182</v>
      </c>
      <c r="F88" s="129" t="s">
        <v>183</v>
      </c>
      <c r="J88" s="130">
        <f>BK88</f>
        <v>9274.0499999999993</v>
      </c>
      <c r="L88" s="127"/>
      <c r="M88" s="131"/>
      <c r="P88" s="132">
        <f>P89</f>
        <v>5.75</v>
      </c>
      <c r="R88" s="132">
        <f>R89</f>
        <v>0</v>
      </c>
      <c r="T88" s="133">
        <f>T89</f>
        <v>0</v>
      </c>
      <c r="AR88" s="128" t="s">
        <v>88</v>
      </c>
      <c r="AT88" s="134" t="s">
        <v>80</v>
      </c>
      <c r="AU88" s="134" t="s">
        <v>81</v>
      </c>
      <c r="AY88" s="128" t="s">
        <v>184</v>
      </c>
      <c r="BK88" s="135">
        <f>BK89</f>
        <v>9274.0499999999993</v>
      </c>
    </row>
    <row r="89" spans="2:65" s="11" customFormat="1" ht="22.9" customHeight="1" x14ac:dyDescent="0.2">
      <c r="B89" s="127"/>
      <c r="D89" s="128" t="s">
        <v>80</v>
      </c>
      <c r="E89" s="136" t="s">
        <v>245</v>
      </c>
      <c r="F89" s="136" t="s">
        <v>304</v>
      </c>
      <c r="J89" s="137">
        <f>BK89</f>
        <v>9274.0499999999993</v>
      </c>
      <c r="L89" s="127"/>
      <c r="M89" s="131"/>
      <c r="P89" s="132">
        <f>SUM(P90:P91)</f>
        <v>5.75</v>
      </c>
      <c r="R89" s="132">
        <f>SUM(R90:R91)</f>
        <v>0</v>
      </c>
      <c r="T89" s="133">
        <f>SUM(T90:T91)</f>
        <v>0</v>
      </c>
      <c r="AR89" s="128" t="s">
        <v>88</v>
      </c>
      <c r="AT89" s="134" t="s">
        <v>80</v>
      </c>
      <c r="AU89" s="134" t="s">
        <v>88</v>
      </c>
      <c r="AY89" s="128" t="s">
        <v>184</v>
      </c>
      <c r="BK89" s="135">
        <f>SUM(BK90:BK91)</f>
        <v>9274.0499999999993</v>
      </c>
    </row>
    <row r="90" spans="2:65" s="1" customFormat="1" ht="21.75" customHeight="1" x14ac:dyDescent="0.3">
      <c r="B90" s="33"/>
      <c r="C90" s="138" t="s">
        <v>88</v>
      </c>
      <c r="D90" s="138" t="s">
        <v>186</v>
      </c>
      <c r="E90" s="139" t="s">
        <v>1178</v>
      </c>
      <c r="F90" s="140" t="s">
        <v>2070</v>
      </c>
      <c r="G90" s="141" t="s">
        <v>754</v>
      </c>
      <c r="H90" s="142">
        <v>5</v>
      </c>
      <c r="I90" s="143">
        <v>1854.81</v>
      </c>
      <c r="J90" s="144">
        <f>ROUND(I90*H90,2)</f>
        <v>9274.0499999999993</v>
      </c>
      <c r="K90" s="140" t="s">
        <v>190</v>
      </c>
      <c r="L90" s="33"/>
      <c r="M90" s="145" t="s">
        <v>1</v>
      </c>
      <c r="N90" s="146" t="s">
        <v>47</v>
      </c>
      <c r="O90" s="147">
        <v>1.1499999999999999</v>
      </c>
      <c r="P90" s="147">
        <f>O90*H90</f>
        <v>5.75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49" t="s">
        <v>191</v>
      </c>
      <c r="AT90" s="149" t="s">
        <v>186</v>
      </c>
      <c r="AU90" s="149" t="s">
        <v>20</v>
      </c>
      <c r="AY90" s="18" t="s">
        <v>184</v>
      </c>
      <c r="BE90" s="150">
        <f>IF(N90="základní",J90,0)</f>
        <v>9274.0499999999993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8" t="s">
        <v>88</v>
      </c>
      <c r="BK90" s="150">
        <f>ROUND(I90*H90,2)</f>
        <v>9274.0499999999993</v>
      </c>
      <c r="BL90" s="18" t="s">
        <v>191</v>
      </c>
      <c r="BM90" s="149" t="s">
        <v>2071</v>
      </c>
    </row>
    <row r="91" spans="2:65" s="1" customFormat="1" x14ac:dyDescent="0.3">
      <c r="B91" s="33"/>
      <c r="D91" s="151" t="s">
        <v>193</v>
      </c>
      <c r="F91" s="152" t="s">
        <v>1181</v>
      </c>
      <c r="I91" s="153"/>
      <c r="L91" s="33"/>
      <c r="M91" s="154"/>
      <c r="T91" s="57"/>
      <c r="AT91" s="18" t="s">
        <v>193</v>
      </c>
      <c r="AU91" s="18" t="s">
        <v>20</v>
      </c>
    </row>
    <row r="92" spans="2:65" s="11" customFormat="1" ht="25.9" customHeight="1" x14ac:dyDescent="0.2">
      <c r="B92" s="127"/>
      <c r="D92" s="128" t="s">
        <v>80</v>
      </c>
      <c r="E92" s="129" t="s">
        <v>381</v>
      </c>
      <c r="F92" s="129" t="s">
        <v>382</v>
      </c>
      <c r="I92" s="171"/>
      <c r="J92" s="130">
        <f>BK92</f>
        <v>209785.07</v>
      </c>
      <c r="L92" s="127"/>
      <c r="M92" s="131"/>
      <c r="P92" s="132">
        <f>P93</f>
        <v>138.751654</v>
      </c>
      <c r="R92" s="132">
        <f>R93</f>
        <v>0.42216100000000001</v>
      </c>
      <c r="T92" s="133">
        <f>T93</f>
        <v>0</v>
      </c>
      <c r="AR92" s="128" t="s">
        <v>20</v>
      </c>
      <c r="AT92" s="134" t="s">
        <v>80</v>
      </c>
      <c r="AU92" s="134" t="s">
        <v>81</v>
      </c>
      <c r="AY92" s="128" t="s">
        <v>184</v>
      </c>
      <c r="BK92" s="135">
        <f>BK93</f>
        <v>209785.07</v>
      </c>
    </row>
    <row r="93" spans="2:65" s="11" customFormat="1" ht="22.9" customHeight="1" x14ac:dyDescent="0.2">
      <c r="B93" s="127"/>
      <c r="D93" s="128" t="s">
        <v>80</v>
      </c>
      <c r="E93" s="136" t="s">
        <v>1182</v>
      </c>
      <c r="F93" s="136" t="s">
        <v>1183</v>
      </c>
      <c r="I93" s="171"/>
      <c r="J93" s="137">
        <f>BK93</f>
        <v>209785.07</v>
      </c>
      <c r="L93" s="127"/>
      <c r="M93" s="131"/>
      <c r="P93" s="132">
        <f>SUM(P94:P129)</f>
        <v>138.751654</v>
      </c>
      <c r="R93" s="132">
        <f>SUM(R94:R129)</f>
        <v>0.42216100000000001</v>
      </c>
      <c r="T93" s="133">
        <f>SUM(T94:T129)</f>
        <v>0</v>
      </c>
      <c r="AR93" s="128" t="s">
        <v>20</v>
      </c>
      <c r="AT93" s="134" t="s">
        <v>80</v>
      </c>
      <c r="AU93" s="134" t="s">
        <v>88</v>
      </c>
      <c r="AY93" s="128" t="s">
        <v>184</v>
      </c>
      <c r="BK93" s="135">
        <f>SUM(BK94:BK129)</f>
        <v>209785.07</v>
      </c>
    </row>
    <row r="94" spans="2:65" s="1" customFormat="1" ht="24.2" customHeight="1" x14ac:dyDescent="0.3">
      <c r="B94" s="33"/>
      <c r="C94" s="138" t="s">
        <v>20</v>
      </c>
      <c r="D94" s="138" t="s">
        <v>186</v>
      </c>
      <c r="E94" s="139" t="s">
        <v>1184</v>
      </c>
      <c r="F94" s="140" t="s">
        <v>2072</v>
      </c>
      <c r="G94" s="141" t="s">
        <v>210</v>
      </c>
      <c r="H94" s="142">
        <v>286</v>
      </c>
      <c r="I94" s="143">
        <v>128.41</v>
      </c>
      <c r="J94" s="144">
        <f>ROUND(I94*H94,2)</f>
        <v>36725.26</v>
      </c>
      <c r="K94" s="140" t="s">
        <v>190</v>
      </c>
      <c r="L94" s="33"/>
      <c r="M94" s="145" t="s">
        <v>1</v>
      </c>
      <c r="N94" s="146" t="s">
        <v>47</v>
      </c>
      <c r="O94" s="147">
        <v>0.13100000000000001</v>
      </c>
      <c r="P94" s="147">
        <f>O94*H94</f>
        <v>37.466000000000001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49" t="s">
        <v>287</v>
      </c>
      <c r="AT94" s="149" t="s">
        <v>186</v>
      </c>
      <c r="AU94" s="149" t="s">
        <v>20</v>
      </c>
      <c r="AY94" s="18" t="s">
        <v>184</v>
      </c>
      <c r="BE94" s="150">
        <f>IF(N94="základní",J94,0)</f>
        <v>36725.26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8" t="s">
        <v>88</v>
      </c>
      <c r="BK94" s="150">
        <f>ROUND(I94*H94,2)</f>
        <v>36725.26</v>
      </c>
      <c r="BL94" s="18" t="s">
        <v>287</v>
      </c>
      <c r="BM94" s="149" t="s">
        <v>2073</v>
      </c>
    </row>
    <row r="95" spans="2:65" s="1" customFormat="1" x14ac:dyDescent="0.3">
      <c r="B95" s="33"/>
      <c r="D95" s="151" t="s">
        <v>193</v>
      </c>
      <c r="F95" s="152" t="s">
        <v>1187</v>
      </c>
      <c r="I95" s="153"/>
      <c r="L95" s="33"/>
      <c r="M95" s="154"/>
      <c r="T95" s="57"/>
      <c r="AT95" s="18" t="s">
        <v>193</v>
      </c>
      <c r="AU95" s="18" t="s">
        <v>20</v>
      </c>
    </row>
    <row r="96" spans="2:65" s="1" customFormat="1" ht="16.5" customHeight="1" x14ac:dyDescent="0.3">
      <c r="B96" s="33"/>
      <c r="C96" s="172" t="s">
        <v>202</v>
      </c>
      <c r="D96" s="172" t="s">
        <v>271</v>
      </c>
      <c r="E96" s="173" t="s">
        <v>1188</v>
      </c>
      <c r="F96" s="174" t="s">
        <v>1189</v>
      </c>
      <c r="G96" s="175" t="s">
        <v>210</v>
      </c>
      <c r="H96" s="176">
        <v>300.3</v>
      </c>
      <c r="I96" s="177">
        <v>23.26</v>
      </c>
      <c r="J96" s="178">
        <f>ROUND(I96*H96,2)</f>
        <v>6984.98</v>
      </c>
      <c r="K96" s="174" t="s">
        <v>190</v>
      </c>
      <c r="L96" s="179"/>
      <c r="M96" s="180" t="s">
        <v>1</v>
      </c>
      <c r="N96" s="181" t="s">
        <v>47</v>
      </c>
      <c r="O96" s="147">
        <v>0</v>
      </c>
      <c r="P96" s="147">
        <f>O96*H96</f>
        <v>0</v>
      </c>
      <c r="Q96" s="147">
        <v>2.7E-4</v>
      </c>
      <c r="R96" s="147">
        <f>Q96*H96</f>
        <v>8.1081E-2</v>
      </c>
      <c r="S96" s="147">
        <v>0</v>
      </c>
      <c r="T96" s="148">
        <f>S96*H96</f>
        <v>0</v>
      </c>
      <c r="AR96" s="149" t="s">
        <v>392</v>
      </c>
      <c r="AT96" s="149" t="s">
        <v>271</v>
      </c>
      <c r="AU96" s="149" t="s">
        <v>20</v>
      </c>
      <c r="AY96" s="18" t="s">
        <v>184</v>
      </c>
      <c r="BE96" s="150">
        <f>IF(N96="základní",J96,0)</f>
        <v>6984.98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8" t="s">
        <v>88</v>
      </c>
      <c r="BK96" s="150">
        <f>ROUND(I96*H96,2)</f>
        <v>6984.98</v>
      </c>
      <c r="BL96" s="18" t="s">
        <v>287</v>
      </c>
      <c r="BM96" s="149" t="s">
        <v>2074</v>
      </c>
    </row>
    <row r="97" spans="2:65" s="12" customFormat="1" ht="11.25" x14ac:dyDescent="0.3">
      <c r="B97" s="155"/>
      <c r="D97" s="156" t="s">
        <v>195</v>
      </c>
      <c r="E97" s="157" t="s">
        <v>1</v>
      </c>
      <c r="F97" s="158" t="s">
        <v>2075</v>
      </c>
      <c r="H97" s="159">
        <v>300.3</v>
      </c>
      <c r="I97" s="160"/>
      <c r="L97" s="155"/>
      <c r="M97" s="161"/>
      <c r="T97" s="162"/>
      <c r="AT97" s="157" t="s">
        <v>195</v>
      </c>
      <c r="AU97" s="157" t="s">
        <v>20</v>
      </c>
      <c r="AV97" s="12" t="s">
        <v>20</v>
      </c>
      <c r="AW97" s="12" t="s">
        <v>37</v>
      </c>
      <c r="AX97" s="12" t="s">
        <v>88</v>
      </c>
      <c r="AY97" s="157" t="s">
        <v>184</v>
      </c>
    </row>
    <row r="98" spans="2:65" s="1" customFormat="1" ht="24.2" customHeight="1" x14ac:dyDescent="0.3">
      <c r="B98" s="33"/>
      <c r="C98" s="138" t="s">
        <v>191</v>
      </c>
      <c r="D98" s="138" t="s">
        <v>186</v>
      </c>
      <c r="E98" s="139" t="s">
        <v>1192</v>
      </c>
      <c r="F98" s="140" t="s">
        <v>2076</v>
      </c>
      <c r="G98" s="141" t="s">
        <v>210</v>
      </c>
      <c r="H98" s="142">
        <v>5</v>
      </c>
      <c r="I98" s="143">
        <v>214.02</v>
      </c>
      <c r="J98" s="144">
        <f>ROUND(I98*H98,2)</f>
        <v>1070.0999999999999</v>
      </c>
      <c r="K98" s="140" t="s">
        <v>190</v>
      </c>
      <c r="L98" s="33"/>
      <c r="M98" s="145" t="s">
        <v>1</v>
      </c>
      <c r="N98" s="146" t="s">
        <v>47</v>
      </c>
      <c r="O98" s="147">
        <v>0.21</v>
      </c>
      <c r="P98" s="147">
        <f>O98*H98</f>
        <v>1.05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49" t="s">
        <v>287</v>
      </c>
      <c r="AT98" s="149" t="s">
        <v>186</v>
      </c>
      <c r="AU98" s="149" t="s">
        <v>20</v>
      </c>
      <c r="AY98" s="18" t="s">
        <v>184</v>
      </c>
      <c r="BE98" s="150">
        <f>IF(N98="základní",J98,0)</f>
        <v>1070.0999999999999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8" t="s">
        <v>88</v>
      </c>
      <c r="BK98" s="150">
        <f>ROUND(I98*H98,2)</f>
        <v>1070.0999999999999</v>
      </c>
      <c r="BL98" s="18" t="s">
        <v>287</v>
      </c>
      <c r="BM98" s="149" t="s">
        <v>2077</v>
      </c>
    </row>
    <row r="99" spans="2:65" s="1" customFormat="1" x14ac:dyDescent="0.3">
      <c r="B99" s="33"/>
      <c r="D99" s="151" t="s">
        <v>193</v>
      </c>
      <c r="F99" s="152" t="s">
        <v>1195</v>
      </c>
      <c r="I99" s="153"/>
      <c r="L99" s="33"/>
      <c r="M99" s="154"/>
      <c r="T99" s="57"/>
      <c r="AT99" s="18" t="s">
        <v>193</v>
      </c>
      <c r="AU99" s="18" t="s">
        <v>20</v>
      </c>
    </row>
    <row r="100" spans="2:65" s="1" customFormat="1" ht="16.5" customHeight="1" x14ac:dyDescent="0.3">
      <c r="B100" s="33"/>
      <c r="C100" s="172" t="s">
        <v>214</v>
      </c>
      <c r="D100" s="172" t="s">
        <v>271</v>
      </c>
      <c r="E100" s="173" t="s">
        <v>1196</v>
      </c>
      <c r="F100" s="174" t="s">
        <v>1197</v>
      </c>
      <c r="G100" s="175" t="s">
        <v>210</v>
      </c>
      <c r="H100" s="176">
        <v>5.25</v>
      </c>
      <c r="I100" s="177">
        <v>498.54</v>
      </c>
      <c r="J100" s="178">
        <f>ROUND(I100*H100,2)</f>
        <v>2617.34</v>
      </c>
      <c r="K100" s="174" t="s">
        <v>190</v>
      </c>
      <c r="L100" s="179"/>
      <c r="M100" s="180" t="s">
        <v>1</v>
      </c>
      <c r="N100" s="181" t="s">
        <v>47</v>
      </c>
      <c r="O100" s="147">
        <v>0</v>
      </c>
      <c r="P100" s="147">
        <f>O100*H100</f>
        <v>0</v>
      </c>
      <c r="Q100" s="147">
        <v>8.1399999999999997E-3</v>
      </c>
      <c r="R100" s="147">
        <f>Q100*H100</f>
        <v>4.2734999999999995E-2</v>
      </c>
      <c r="S100" s="147">
        <v>0</v>
      </c>
      <c r="T100" s="148">
        <f>S100*H100</f>
        <v>0</v>
      </c>
      <c r="AR100" s="149" t="s">
        <v>392</v>
      </c>
      <c r="AT100" s="149" t="s">
        <v>271</v>
      </c>
      <c r="AU100" s="149" t="s">
        <v>20</v>
      </c>
      <c r="AY100" s="18" t="s">
        <v>184</v>
      </c>
      <c r="BE100" s="150">
        <f>IF(N100="základní",J100,0)</f>
        <v>2617.34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8" t="s">
        <v>88</v>
      </c>
      <c r="BK100" s="150">
        <f>ROUND(I100*H100,2)</f>
        <v>2617.34</v>
      </c>
      <c r="BL100" s="18" t="s">
        <v>287</v>
      </c>
      <c r="BM100" s="149" t="s">
        <v>2078</v>
      </c>
    </row>
    <row r="101" spans="2:65" s="12" customFormat="1" ht="11.25" x14ac:dyDescent="0.3">
      <c r="B101" s="155"/>
      <c r="D101" s="156" t="s">
        <v>195</v>
      </c>
      <c r="E101" s="157" t="s">
        <v>1</v>
      </c>
      <c r="F101" s="158" t="s">
        <v>2079</v>
      </c>
      <c r="H101" s="159">
        <v>5.25</v>
      </c>
      <c r="I101" s="160"/>
      <c r="L101" s="155"/>
      <c r="M101" s="161"/>
      <c r="T101" s="162"/>
      <c r="AT101" s="157" t="s">
        <v>195</v>
      </c>
      <c r="AU101" s="157" t="s">
        <v>20</v>
      </c>
      <c r="AV101" s="12" t="s">
        <v>20</v>
      </c>
      <c r="AW101" s="12" t="s">
        <v>37</v>
      </c>
      <c r="AX101" s="12" t="s">
        <v>88</v>
      </c>
      <c r="AY101" s="157" t="s">
        <v>184</v>
      </c>
    </row>
    <row r="102" spans="2:65" s="1" customFormat="1" ht="24.2" customHeight="1" x14ac:dyDescent="0.3">
      <c r="B102" s="33"/>
      <c r="C102" s="138" t="s">
        <v>221</v>
      </c>
      <c r="D102" s="138" t="s">
        <v>186</v>
      </c>
      <c r="E102" s="139" t="s">
        <v>1200</v>
      </c>
      <c r="F102" s="140" t="s">
        <v>2080</v>
      </c>
      <c r="G102" s="141" t="s">
        <v>210</v>
      </c>
      <c r="H102" s="142">
        <v>30</v>
      </c>
      <c r="I102" s="143">
        <v>142.68</v>
      </c>
      <c r="J102" s="144">
        <f>ROUND(I102*H102,2)</f>
        <v>4280.3999999999996</v>
      </c>
      <c r="K102" s="140" t="s">
        <v>190</v>
      </c>
      <c r="L102" s="33"/>
      <c r="M102" s="145" t="s">
        <v>1</v>
      </c>
      <c r="N102" s="146" t="s">
        <v>47</v>
      </c>
      <c r="O102" s="147">
        <v>9.8000000000000004E-2</v>
      </c>
      <c r="P102" s="147">
        <f>O102*H102</f>
        <v>2.94</v>
      </c>
      <c r="Q102" s="147">
        <v>0</v>
      </c>
      <c r="R102" s="147">
        <f>Q102*H102</f>
        <v>0</v>
      </c>
      <c r="S102" s="147">
        <v>0</v>
      </c>
      <c r="T102" s="148">
        <f>S102*H102</f>
        <v>0</v>
      </c>
      <c r="AR102" s="149" t="s">
        <v>287</v>
      </c>
      <c r="AT102" s="149" t="s">
        <v>186</v>
      </c>
      <c r="AU102" s="149" t="s">
        <v>20</v>
      </c>
      <c r="AY102" s="18" t="s">
        <v>184</v>
      </c>
      <c r="BE102" s="150">
        <f>IF(N102="základní",J102,0)</f>
        <v>4280.3999999999996</v>
      </c>
      <c r="BF102" s="150">
        <f>IF(N102="snížená",J102,0)</f>
        <v>0</v>
      </c>
      <c r="BG102" s="150">
        <f>IF(N102="zákl. přenesená",J102,0)</f>
        <v>0</v>
      </c>
      <c r="BH102" s="150">
        <f>IF(N102="sníž. přenesená",J102,0)</f>
        <v>0</v>
      </c>
      <c r="BI102" s="150">
        <f>IF(N102="nulová",J102,0)</f>
        <v>0</v>
      </c>
      <c r="BJ102" s="18" t="s">
        <v>88</v>
      </c>
      <c r="BK102" s="150">
        <f>ROUND(I102*H102,2)</f>
        <v>4280.3999999999996</v>
      </c>
      <c r="BL102" s="18" t="s">
        <v>287</v>
      </c>
      <c r="BM102" s="149" t="s">
        <v>2081</v>
      </c>
    </row>
    <row r="103" spans="2:65" s="1" customFormat="1" x14ac:dyDescent="0.3">
      <c r="B103" s="33"/>
      <c r="D103" s="151" t="s">
        <v>193</v>
      </c>
      <c r="F103" s="152" t="s">
        <v>2082</v>
      </c>
      <c r="I103" s="153"/>
      <c r="L103" s="33"/>
      <c r="M103" s="154"/>
      <c r="T103" s="57"/>
      <c r="AT103" s="18" t="s">
        <v>193</v>
      </c>
      <c r="AU103" s="18" t="s">
        <v>20</v>
      </c>
    </row>
    <row r="104" spans="2:65" s="1" customFormat="1" ht="16.5" customHeight="1" x14ac:dyDescent="0.3">
      <c r="B104" s="33"/>
      <c r="C104" s="172" t="s">
        <v>231</v>
      </c>
      <c r="D104" s="172" t="s">
        <v>271</v>
      </c>
      <c r="E104" s="173" t="s">
        <v>1203</v>
      </c>
      <c r="F104" s="174" t="s">
        <v>2083</v>
      </c>
      <c r="G104" s="175" t="s">
        <v>210</v>
      </c>
      <c r="H104" s="176">
        <v>34.5</v>
      </c>
      <c r="I104" s="177">
        <v>28.54</v>
      </c>
      <c r="J104" s="178">
        <f>ROUND(I104*H104,2)</f>
        <v>984.63</v>
      </c>
      <c r="K104" s="174" t="s">
        <v>190</v>
      </c>
      <c r="L104" s="179"/>
      <c r="M104" s="180" t="s">
        <v>1</v>
      </c>
      <c r="N104" s="181" t="s">
        <v>47</v>
      </c>
      <c r="O104" s="147">
        <v>0</v>
      </c>
      <c r="P104" s="147">
        <f>O104*H104</f>
        <v>0</v>
      </c>
      <c r="Q104" s="147">
        <v>1.2E-4</v>
      </c>
      <c r="R104" s="147">
        <f>Q104*H104</f>
        <v>4.1400000000000005E-3</v>
      </c>
      <c r="S104" s="147">
        <v>0</v>
      </c>
      <c r="T104" s="148">
        <f>S104*H104</f>
        <v>0</v>
      </c>
      <c r="AR104" s="149" t="s">
        <v>392</v>
      </c>
      <c r="AT104" s="149" t="s">
        <v>271</v>
      </c>
      <c r="AU104" s="149" t="s">
        <v>20</v>
      </c>
      <c r="AY104" s="18" t="s">
        <v>184</v>
      </c>
      <c r="BE104" s="150">
        <f>IF(N104="základní",J104,0)</f>
        <v>984.63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8" t="s">
        <v>88</v>
      </c>
      <c r="BK104" s="150">
        <f>ROUND(I104*H104,2)</f>
        <v>984.63</v>
      </c>
      <c r="BL104" s="18" t="s">
        <v>287</v>
      </c>
      <c r="BM104" s="149" t="s">
        <v>2084</v>
      </c>
    </row>
    <row r="105" spans="2:65" s="12" customFormat="1" ht="11.25" x14ac:dyDescent="0.3">
      <c r="B105" s="155"/>
      <c r="D105" s="156" t="s">
        <v>195</v>
      </c>
      <c r="E105" s="157" t="s">
        <v>1</v>
      </c>
      <c r="F105" s="158" t="s">
        <v>2085</v>
      </c>
      <c r="H105" s="159">
        <v>34.5</v>
      </c>
      <c r="I105" s="160"/>
      <c r="L105" s="155"/>
      <c r="M105" s="161"/>
      <c r="T105" s="162"/>
      <c r="AT105" s="157" t="s">
        <v>195</v>
      </c>
      <c r="AU105" s="157" t="s">
        <v>20</v>
      </c>
      <c r="AV105" s="12" t="s">
        <v>20</v>
      </c>
      <c r="AW105" s="12" t="s">
        <v>37</v>
      </c>
      <c r="AX105" s="12" t="s">
        <v>88</v>
      </c>
      <c r="AY105" s="157" t="s">
        <v>184</v>
      </c>
    </row>
    <row r="106" spans="2:65" s="1" customFormat="1" ht="24.2" customHeight="1" x14ac:dyDescent="0.3">
      <c r="B106" s="33"/>
      <c r="C106" s="138" t="s">
        <v>239</v>
      </c>
      <c r="D106" s="138" t="s">
        <v>186</v>
      </c>
      <c r="E106" s="139" t="s">
        <v>1207</v>
      </c>
      <c r="F106" s="140" t="s">
        <v>2086</v>
      </c>
      <c r="G106" s="141" t="s">
        <v>210</v>
      </c>
      <c r="H106" s="142">
        <v>153</v>
      </c>
      <c r="I106" s="143">
        <v>128.41</v>
      </c>
      <c r="J106" s="144">
        <f>ROUND(I106*H106,2)</f>
        <v>19646.73</v>
      </c>
      <c r="K106" s="140" t="s">
        <v>190</v>
      </c>
      <c r="L106" s="33"/>
      <c r="M106" s="145" t="s">
        <v>1</v>
      </c>
      <c r="N106" s="146" t="s">
        <v>47</v>
      </c>
      <c r="O106" s="147">
        <v>9.8000000000000004E-2</v>
      </c>
      <c r="P106" s="147">
        <f>O106*H106</f>
        <v>14.994</v>
      </c>
      <c r="Q106" s="147">
        <v>0</v>
      </c>
      <c r="R106" s="147">
        <f>Q106*H106</f>
        <v>0</v>
      </c>
      <c r="S106" s="147">
        <v>0</v>
      </c>
      <c r="T106" s="148">
        <f>S106*H106</f>
        <v>0</v>
      </c>
      <c r="AR106" s="149" t="s">
        <v>287</v>
      </c>
      <c r="AT106" s="149" t="s">
        <v>186</v>
      </c>
      <c r="AU106" s="149" t="s">
        <v>20</v>
      </c>
      <c r="AY106" s="18" t="s">
        <v>184</v>
      </c>
      <c r="BE106" s="150">
        <f>IF(N106="základní",J106,0)</f>
        <v>19646.73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8" t="s">
        <v>88</v>
      </c>
      <c r="BK106" s="150">
        <f>ROUND(I106*H106,2)</f>
        <v>19646.73</v>
      </c>
      <c r="BL106" s="18" t="s">
        <v>287</v>
      </c>
      <c r="BM106" s="149" t="s">
        <v>2087</v>
      </c>
    </row>
    <row r="107" spans="2:65" s="1" customFormat="1" x14ac:dyDescent="0.3">
      <c r="B107" s="33"/>
      <c r="D107" s="151" t="s">
        <v>193</v>
      </c>
      <c r="F107" s="152" t="s">
        <v>1210</v>
      </c>
      <c r="I107" s="153"/>
      <c r="L107" s="33"/>
      <c r="M107" s="154"/>
      <c r="T107" s="57"/>
      <c r="AT107" s="18" t="s">
        <v>193</v>
      </c>
      <c r="AU107" s="18" t="s">
        <v>20</v>
      </c>
    </row>
    <row r="108" spans="2:65" s="1" customFormat="1" ht="16.5" customHeight="1" x14ac:dyDescent="0.3">
      <c r="B108" s="33"/>
      <c r="C108" s="172" t="s">
        <v>245</v>
      </c>
      <c r="D108" s="172" t="s">
        <v>271</v>
      </c>
      <c r="E108" s="173" t="s">
        <v>1211</v>
      </c>
      <c r="F108" s="174" t="s">
        <v>1212</v>
      </c>
      <c r="G108" s="175" t="s">
        <v>210</v>
      </c>
      <c r="H108" s="176">
        <v>175.95</v>
      </c>
      <c r="I108" s="177">
        <v>85.61</v>
      </c>
      <c r="J108" s="178">
        <f>ROUND(I108*H108,2)</f>
        <v>15063.08</v>
      </c>
      <c r="K108" s="174" t="s">
        <v>190</v>
      </c>
      <c r="L108" s="179"/>
      <c r="M108" s="180" t="s">
        <v>1</v>
      </c>
      <c r="N108" s="181" t="s">
        <v>47</v>
      </c>
      <c r="O108" s="147">
        <v>0</v>
      </c>
      <c r="P108" s="147">
        <f>O108*H108</f>
        <v>0</v>
      </c>
      <c r="Q108" s="147">
        <v>2.9E-4</v>
      </c>
      <c r="R108" s="147">
        <f>Q108*H108</f>
        <v>5.1025499999999994E-2</v>
      </c>
      <c r="S108" s="147">
        <v>0</v>
      </c>
      <c r="T108" s="148">
        <f>S108*H108</f>
        <v>0</v>
      </c>
      <c r="AR108" s="149" t="s">
        <v>392</v>
      </c>
      <c r="AT108" s="149" t="s">
        <v>271</v>
      </c>
      <c r="AU108" s="149" t="s">
        <v>20</v>
      </c>
      <c r="AY108" s="18" t="s">
        <v>184</v>
      </c>
      <c r="BE108" s="150">
        <f>IF(N108="základní",J108,0)</f>
        <v>15063.08</v>
      </c>
      <c r="BF108" s="150">
        <f>IF(N108="snížená",J108,0)</f>
        <v>0</v>
      </c>
      <c r="BG108" s="150">
        <f>IF(N108="zákl. přenesená",J108,0)</f>
        <v>0</v>
      </c>
      <c r="BH108" s="150">
        <f>IF(N108="sníž. přenesená",J108,0)</f>
        <v>0</v>
      </c>
      <c r="BI108" s="150">
        <f>IF(N108="nulová",J108,0)</f>
        <v>0</v>
      </c>
      <c r="BJ108" s="18" t="s">
        <v>88</v>
      </c>
      <c r="BK108" s="150">
        <f>ROUND(I108*H108,2)</f>
        <v>15063.08</v>
      </c>
      <c r="BL108" s="18" t="s">
        <v>287</v>
      </c>
      <c r="BM108" s="149" t="s">
        <v>2088</v>
      </c>
    </row>
    <row r="109" spans="2:65" s="12" customFormat="1" ht="11.25" x14ac:dyDescent="0.3">
      <c r="B109" s="155"/>
      <c r="D109" s="156" t="s">
        <v>195</v>
      </c>
      <c r="E109" s="157" t="s">
        <v>1</v>
      </c>
      <c r="F109" s="158" t="s">
        <v>2089</v>
      </c>
      <c r="H109" s="159">
        <v>175.95</v>
      </c>
      <c r="I109" s="160"/>
      <c r="L109" s="155"/>
      <c r="M109" s="161"/>
      <c r="T109" s="162"/>
      <c r="AT109" s="157" t="s">
        <v>195</v>
      </c>
      <c r="AU109" s="157" t="s">
        <v>20</v>
      </c>
      <c r="AV109" s="12" t="s">
        <v>20</v>
      </c>
      <c r="AW109" s="12" t="s">
        <v>37</v>
      </c>
      <c r="AX109" s="12" t="s">
        <v>88</v>
      </c>
      <c r="AY109" s="157" t="s">
        <v>184</v>
      </c>
    </row>
    <row r="110" spans="2:65" s="1" customFormat="1" ht="24.2" customHeight="1" x14ac:dyDescent="0.3">
      <c r="B110" s="33"/>
      <c r="C110" s="138" t="s">
        <v>252</v>
      </c>
      <c r="D110" s="138" t="s">
        <v>186</v>
      </c>
      <c r="E110" s="139" t="s">
        <v>1223</v>
      </c>
      <c r="F110" s="140" t="s">
        <v>2090</v>
      </c>
      <c r="G110" s="141" t="s">
        <v>210</v>
      </c>
      <c r="H110" s="142">
        <v>153</v>
      </c>
      <c r="I110" s="143">
        <v>156.94999999999999</v>
      </c>
      <c r="J110" s="144">
        <f>ROUND(I110*H110,2)</f>
        <v>24013.35</v>
      </c>
      <c r="K110" s="140" t="s">
        <v>190</v>
      </c>
      <c r="L110" s="33"/>
      <c r="M110" s="145" t="s">
        <v>1</v>
      </c>
      <c r="N110" s="146" t="s">
        <v>47</v>
      </c>
      <c r="O110" s="147">
        <v>5.1999999999999998E-2</v>
      </c>
      <c r="P110" s="147">
        <f>O110*H110</f>
        <v>7.9559999999999995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AR110" s="149" t="s">
        <v>287</v>
      </c>
      <c r="AT110" s="149" t="s">
        <v>186</v>
      </c>
      <c r="AU110" s="149" t="s">
        <v>20</v>
      </c>
      <c r="AY110" s="18" t="s">
        <v>184</v>
      </c>
      <c r="BE110" s="150">
        <f>IF(N110="základní",J110,0)</f>
        <v>24013.35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8" t="s">
        <v>88</v>
      </c>
      <c r="BK110" s="150">
        <f>ROUND(I110*H110,2)</f>
        <v>24013.35</v>
      </c>
      <c r="BL110" s="18" t="s">
        <v>287</v>
      </c>
      <c r="BM110" s="149" t="s">
        <v>2091</v>
      </c>
    </row>
    <row r="111" spans="2:65" s="1" customFormat="1" x14ac:dyDescent="0.3">
      <c r="B111" s="33"/>
      <c r="D111" s="151" t="s">
        <v>193</v>
      </c>
      <c r="F111" s="152" t="s">
        <v>1226</v>
      </c>
      <c r="I111" s="153"/>
      <c r="L111" s="33"/>
      <c r="M111" s="154"/>
      <c r="T111" s="57"/>
      <c r="AT111" s="18" t="s">
        <v>193</v>
      </c>
      <c r="AU111" s="18" t="s">
        <v>20</v>
      </c>
    </row>
    <row r="112" spans="2:65" s="1" customFormat="1" ht="16.5" customHeight="1" x14ac:dyDescent="0.3">
      <c r="B112" s="33"/>
      <c r="C112" s="172" t="s">
        <v>257</v>
      </c>
      <c r="D112" s="172" t="s">
        <v>271</v>
      </c>
      <c r="E112" s="173" t="s">
        <v>1227</v>
      </c>
      <c r="F112" s="174" t="s">
        <v>1228</v>
      </c>
      <c r="G112" s="175" t="s">
        <v>210</v>
      </c>
      <c r="H112" s="176">
        <v>175.95</v>
      </c>
      <c r="I112" s="177">
        <v>107.01</v>
      </c>
      <c r="J112" s="178">
        <f>ROUND(I112*H112,2)</f>
        <v>18828.41</v>
      </c>
      <c r="K112" s="174" t="s">
        <v>190</v>
      </c>
      <c r="L112" s="179"/>
      <c r="M112" s="180" t="s">
        <v>1</v>
      </c>
      <c r="N112" s="181" t="s">
        <v>47</v>
      </c>
      <c r="O112" s="147">
        <v>0</v>
      </c>
      <c r="P112" s="147">
        <f>O112*H112</f>
        <v>0</v>
      </c>
      <c r="Q112" s="147">
        <v>6.0999999999999997E-4</v>
      </c>
      <c r="R112" s="147">
        <f>Q112*H112</f>
        <v>0.10732949999999999</v>
      </c>
      <c r="S112" s="147">
        <v>0</v>
      </c>
      <c r="T112" s="148">
        <f>S112*H112</f>
        <v>0</v>
      </c>
      <c r="AR112" s="149" t="s">
        <v>392</v>
      </c>
      <c r="AT112" s="149" t="s">
        <v>271</v>
      </c>
      <c r="AU112" s="149" t="s">
        <v>20</v>
      </c>
      <c r="AY112" s="18" t="s">
        <v>184</v>
      </c>
      <c r="BE112" s="150">
        <f>IF(N112="základní",J112,0)</f>
        <v>18828.41</v>
      </c>
      <c r="BF112" s="150">
        <f>IF(N112="snížená",J112,0)</f>
        <v>0</v>
      </c>
      <c r="BG112" s="150">
        <f>IF(N112="zákl. přenesená",J112,0)</f>
        <v>0</v>
      </c>
      <c r="BH112" s="150">
        <f>IF(N112="sníž. přenesená",J112,0)</f>
        <v>0</v>
      </c>
      <c r="BI112" s="150">
        <f>IF(N112="nulová",J112,0)</f>
        <v>0</v>
      </c>
      <c r="BJ112" s="18" t="s">
        <v>88</v>
      </c>
      <c r="BK112" s="150">
        <f>ROUND(I112*H112,2)</f>
        <v>18828.41</v>
      </c>
      <c r="BL112" s="18" t="s">
        <v>287</v>
      </c>
      <c r="BM112" s="149" t="s">
        <v>2092</v>
      </c>
    </row>
    <row r="113" spans="2:65" s="12" customFormat="1" ht="11.25" x14ac:dyDescent="0.3">
      <c r="B113" s="155"/>
      <c r="D113" s="156" t="s">
        <v>195</v>
      </c>
      <c r="E113" s="157" t="s">
        <v>1</v>
      </c>
      <c r="F113" s="158" t="s">
        <v>2089</v>
      </c>
      <c r="H113" s="159">
        <v>175.95</v>
      </c>
      <c r="I113" s="160"/>
      <c r="L113" s="155"/>
      <c r="M113" s="161"/>
      <c r="T113" s="162"/>
      <c r="AT113" s="157" t="s">
        <v>195</v>
      </c>
      <c r="AU113" s="157" t="s">
        <v>20</v>
      </c>
      <c r="AV113" s="12" t="s">
        <v>20</v>
      </c>
      <c r="AW113" s="12" t="s">
        <v>37</v>
      </c>
      <c r="AX113" s="12" t="s">
        <v>88</v>
      </c>
      <c r="AY113" s="157" t="s">
        <v>184</v>
      </c>
    </row>
    <row r="114" spans="2:65" s="1" customFormat="1" ht="24.2" customHeight="1" x14ac:dyDescent="0.3">
      <c r="B114" s="33"/>
      <c r="C114" s="138" t="s">
        <v>264</v>
      </c>
      <c r="D114" s="138" t="s">
        <v>186</v>
      </c>
      <c r="E114" s="139" t="s">
        <v>1231</v>
      </c>
      <c r="F114" s="140" t="s">
        <v>2093</v>
      </c>
      <c r="G114" s="141" t="s">
        <v>557</v>
      </c>
      <c r="H114" s="142">
        <v>30</v>
      </c>
      <c r="I114" s="143">
        <v>85.61</v>
      </c>
      <c r="J114" s="144">
        <f>ROUND(I114*H114,2)</f>
        <v>2568.3000000000002</v>
      </c>
      <c r="K114" s="140" t="s">
        <v>190</v>
      </c>
      <c r="L114" s="33"/>
      <c r="M114" s="145" t="s">
        <v>1</v>
      </c>
      <c r="N114" s="146" t="s">
        <v>47</v>
      </c>
      <c r="O114" s="147">
        <v>5.5E-2</v>
      </c>
      <c r="P114" s="147">
        <f>O114*H114</f>
        <v>1.65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49" t="s">
        <v>287</v>
      </c>
      <c r="AT114" s="149" t="s">
        <v>186</v>
      </c>
      <c r="AU114" s="149" t="s">
        <v>20</v>
      </c>
      <c r="AY114" s="18" t="s">
        <v>184</v>
      </c>
      <c r="BE114" s="150">
        <f>IF(N114="základní",J114,0)</f>
        <v>2568.3000000000002</v>
      </c>
      <c r="BF114" s="150">
        <f>IF(N114="snížená",J114,0)</f>
        <v>0</v>
      </c>
      <c r="BG114" s="150">
        <f>IF(N114="zákl. přenesená",J114,0)</f>
        <v>0</v>
      </c>
      <c r="BH114" s="150">
        <f>IF(N114="sníž. přenesená",J114,0)</f>
        <v>0</v>
      </c>
      <c r="BI114" s="150">
        <f>IF(N114="nulová",J114,0)</f>
        <v>0</v>
      </c>
      <c r="BJ114" s="18" t="s">
        <v>88</v>
      </c>
      <c r="BK114" s="150">
        <f>ROUND(I114*H114,2)</f>
        <v>2568.3000000000002</v>
      </c>
      <c r="BL114" s="18" t="s">
        <v>287</v>
      </c>
      <c r="BM114" s="149" t="s">
        <v>2094</v>
      </c>
    </row>
    <row r="115" spans="2:65" s="1" customFormat="1" x14ac:dyDescent="0.3">
      <c r="B115" s="33"/>
      <c r="D115" s="151" t="s">
        <v>193</v>
      </c>
      <c r="F115" s="152" t="s">
        <v>2095</v>
      </c>
      <c r="I115" s="153"/>
      <c r="L115" s="33"/>
      <c r="M115" s="154"/>
      <c r="T115" s="57"/>
      <c r="AT115" s="18" t="s">
        <v>193</v>
      </c>
      <c r="AU115" s="18" t="s">
        <v>20</v>
      </c>
    </row>
    <row r="116" spans="2:65" s="1" customFormat="1" ht="24.2" customHeight="1" x14ac:dyDescent="0.3">
      <c r="B116" s="33"/>
      <c r="C116" s="138" t="s">
        <v>270</v>
      </c>
      <c r="D116" s="138" t="s">
        <v>186</v>
      </c>
      <c r="E116" s="139" t="s">
        <v>1234</v>
      </c>
      <c r="F116" s="140" t="s">
        <v>2096</v>
      </c>
      <c r="G116" s="141" t="s">
        <v>557</v>
      </c>
      <c r="H116" s="142">
        <v>80</v>
      </c>
      <c r="I116" s="143">
        <v>178.35</v>
      </c>
      <c r="J116" s="144">
        <f>ROUND(I116*H116,2)</f>
        <v>14268</v>
      </c>
      <c r="K116" s="140" t="s">
        <v>190</v>
      </c>
      <c r="L116" s="33"/>
      <c r="M116" s="145" t="s">
        <v>1</v>
      </c>
      <c r="N116" s="146" t="s">
        <v>47</v>
      </c>
      <c r="O116" s="147">
        <v>0.193</v>
      </c>
      <c r="P116" s="147">
        <f>O116*H116</f>
        <v>15.440000000000001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49" t="s">
        <v>287</v>
      </c>
      <c r="AT116" s="149" t="s">
        <v>186</v>
      </c>
      <c r="AU116" s="149" t="s">
        <v>20</v>
      </c>
      <c r="AY116" s="18" t="s">
        <v>184</v>
      </c>
      <c r="BE116" s="150">
        <f>IF(N116="základní",J116,0)</f>
        <v>14268</v>
      </c>
      <c r="BF116" s="150">
        <f>IF(N116="snížená",J116,0)</f>
        <v>0</v>
      </c>
      <c r="BG116" s="150">
        <f>IF(N116="zákl. přenesená",J116,0)</f>
        <v>0</v>
      </c>
      <c r="BH116" s="150">
        <f>IF(N116="sníž. přenesená",J116,0)</f>
        <v>0</v>
      </c>
      <c r="BI116" s="150">
        <f>IF(N116="nulová",J116,0)</f>
        <v>0</v>
      </c>
      <c r="BJ116" s="18" t="s">
        <v>88</v>
      </c>
      <c r="BK116" s="150">
        <f>ROUND(I116*H116,2)</f>
        <v>14268</v>
      </c>
      <c r="BL116" s="18" t="s">
        <v>287</v>
      </c>
      <c r="BM116" s="149" t="s">
        <v>2097</v>
      </c>
    </row>
    <row r="117" spans="2:65" s="1" customFormat="1" x14ac:dyDescent="0.3">
      <c r="B117" s="33"/>
      <c r="D117" s="151" t="s">
        <v>193</v>
      </c>
      <c r="F117" s="152" t="s">
        <v>2098</v>
      </c>
      <c r="I117" s="153"/>
      <c r="L117" s="33"/>
      <c r="M117" s="154"/>
      <c r="T117" s="57"/>
      <c r="AT117" s="18" t="s">
        <v>193</v>
      </c>
      <c r="AU117" s="18" t="s">
        <v>20</v>
      </c>
    </row>
    <row r="118" spans="2:65" s="1" customFormat="1" ht="24.2" customHeight="1" x14ac:dyDescent="0.3">
      <c r="B118" s="33"/>
      <c r="C118" s="138" t="s">
        <v>276</v>
      </c>
      <c r="D118" s="138" t="s">
        <v>186</v>
      </c>
      <c r="E118" s="139" t="s">
        <v>1237</v>
      </c>
      <c r="F118" s="140" t="s">
        <v>2099</v>
      </c>
      <c r="G118" s="141" t="s">
        <v>210</v>
      </c>
      <c r="H118" s="142">
        <v>143</v>
      </c>
      <c r="I118" s="143">
        <v>128.41</v>
      </c>
      <c r="J118" s="144">
        <f>ROUND(I118*H118,2)</f>
        <v>18362.63</v>
      </c>
      <c r="K118" s="140" t="s">
        <v>190</v>
      </c>
      <c r="L118" s="33"/>
      <c r="M118" s="145" t="s">
        <v>1</v>
      </c>
      <c r="N118" s="146" t="s">
        <v>47</v>
      </c>
      <c r="O118" s="147">
        <v>0.14000000000000001</v>
      </c>
      <c r="P118" s="147">
        <f>O118*H118</f>
        <v>20.020000000000003</v>
      </c>
      <c r="Q118" s="147">
        <v>0</v>
      </c>
      <c r="R118" s="147">
        <f>Q118*H118</f>
        <v>0</v>
      </c>
      <c r="S118" s="147">
        <v>0</v>
      </c>
      <c r="T118" s="148">
        <f>S118*H118</f>
        <v>0</v>
      </c>
      <c r="AR118" s="149" t="s">
        <v>287</v>
      </c>
      <c r="AT118" s="149" t="s">
        <v>186</v>
      </c>
      <c r="AU118" s="149" t="s">
        <v>20</v>
      </c>
      <c r="AY118" s="18" t="s">
        <v>184</v>
      </c>
      <c r="BE118" s="150">
        <f>IF(N118="základní",J118,0)</f>
        <v>18362.63</v>
      </c>
      <c r="BF118" s="150">
        <f>IF(N118="snížená",J118,0)</f>
        <v>0</v>
      </c>
      <c r="BG118" s="150">
        <f>IF(N118="zákl. přenesená",J118,0)</f>
        <v>0</v>
      </c>
      <c r="BH118" s="150">
        <f>IF(N118="sníž. přenesená",J118,0)</f>
        <v>0</v>
      </c>
      <c r="BI118" s="150">
        <f>IF(N118="nulová",J118,0)</f>
        <v>0</v>
      </c>
      <c r="BJ118" s="18" t="s">
        <v>88</v>
      </c>
      <c r="BK118" s="150">
        <f>ROUND(I118*H118,2)</f>
        <v>18362.63</v>
      </c>
      <c r="BL118" s="18" t="s">
        <v>287</v>
      </c>
      <c r="BM118" s="149" t="s">
        <v>2100</v>
      </c>
    </row>
    <row r="119" spans="2:65" s="1" customFormat="1" x14ac:dyDescent="0.3">
      <c r="B119" s="33"/>
      <c r="D119" s="151" t="s">
        <v>193</v>
      </c>
      <c r="F119" s="152" t="s">
        <v>2101</v>
      </c>
      <c r="I119" s="153"/>
      <c r="L119" s="33"/>
      <c r="M119" s="154"/>
      <c r="T119" s="57"/>
      <c r="AT119" s="18" t="s">
        <v>193</v>
      </c>
      <c r="AU119" s="18" t="s">
        <v>20</v>
      </c>
    </row>
    <row r="120" spans="2:65" s="1" customFormat="1" ht="16.5" customHeight="1" x14ac:dyDescent="0.3">
      <c r="B120" s="33"/>
      <c r="C120" s="172" t="s">
        <v>7</v>
      </c>
      <c r="D120" s="172" t="s">
        <v>271</v>
      </c>
      <c r="E120" s="173" t="s">
        <v>1240</v>
      </c>
      <c r="F120" s="174" t="s">
        <v>1241</v>
      </c>
      <c r="G120" s="175" t="s">
        <v>446</v>
      </c>
      <c r="H120" s="176">
        <v>135.85</v>
      </c>
      <c r="I120" s="177">
        <v>71.34</v>
      </c>
      <c r="J120" s="178">
        <f>ROUND(I120*H120,2)</f>
        <v>9691.5400000000009</v>
      </c>
      <c r="K120" s="174" t="s">
        <v>190</v>
      </c>
      <c r="L120" s="179"/>
      <c r="M120" s="180" t="s">
        <v>1</v>
      </c>
      <c r="N120" s="181" t="s">
        <v>47</v>
      </c>
      <c r="O120" s="147">
        <v>0</v>
      </c>
      <c r="P120" s="147">
        <f>O120*H120</f>
        <v>0</v>
      </c>
      <c r="Q120" s="147">
        <v>1E-3</v>
      </c>
      <c r="R120" s="147">
        <f>Q120*H120</f>
        <v>0.13585</v>
      </c>
      <c r="S120" s="147">
        <v>0</v>
      </c>
      <c r="T120" s="148">
        <f>S120*H120</f>
        <v>0</v>
      </c>
      <c r="AR120" s="149" t="s">
        <v>392</v>
      </c>
      <c r="AT120" s="149" t="s">
        <v>271</v>
      </c>
      <c r="AU120" s="149" t="s">
        <v>20</v>
      </c>
      <c r="AY120" s="18" t="s">
        <v>184</v>
      </c>
      <c r="BE120" s="150">
        <f>IF(N120="základní",J120,0)</f>
        <v>9691.5400000000009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8" t="s">
        <v>88</v>
      </c>
      <c r="BK120" s="150">
        <f>ROUND(I120*H120,2)</f>
        <v>9691.5400000000009</v>
      </c>
      <c r="BL120" s="18" t="s">
        <v>287</v>
      </c>
      <c r="BM120" s="149" t="s">
        <v>2102</v>
      </c>
    </row>
    <row r="121" spans="2:65" s="12" customFormat="1" ht="11.25" x14ac:dyDescent="0.3">
      <c r="B121" s="155"/>
      <c r="D121" s="156" t="s">
        <v>195</v>
      </c>
      <c r="E121" s="157" t="s">
        <v>1</v>
      </c>
      <c r="F121" s="158" t="s">
        <v>2103</v>
      </c>
      <c r="H121" s="159">
        <v>135.85</v>
      </c>
      <c r="I121" s="160"/>
      <c r="L121" s="155"/>
      <c r="M121" s="161"/>
      <c r="T121" s="162"/>
      <c r="AT121" s="157" t="s">
        <v>195</v>
      </c>
      <c r="AU121" s="157" t="s">
        <v>20</v>
      </c>
      <c r="AV121" s="12" t="s">
        <v>20</v>
      </c>
      <c r="AW121" s="12" t="s">
        <v>37</v>
      </c>
      <c r="AX121" s="12" t="s">
        <v>88</v>
      </c>
      <c r="AY121" s="157" t="s">
        <v>184</v>
      </c>
    </row>
    <row r="122" spans="2:65" s="1" customFormat="1" ht="24.2" customHeight="1" x14ac:dyDescent="0.3">
      <c r="B122" s="33"/>
      <c r="C122" s="138" t="s">
        <v>287</v>
      </c>
      <c r="D122" s="138" t="s">
        <v>186</v>
      </c>
      <c r="E122" s="139" t="s">
        <v>2104</v>
      </c>
      <c r="F122" s="140" t="s">
        <v>2105</v>
      </c>
      <c r="G122" s="141" t="s">
        <v>557</v>
      </c>
      <c r="H122" s="142">
        <v>1</v>
      </c>
      <c r="I122" s="143">
        <v>21401.64</v>
      </c>
      <c r="J122" s="144">
        <f>ROUND(I122*H122,2)</f>
        <v>21401.64</v>
      </c>
      <c r="K122" s="140" t="s">
        <v>190</v>
      </c>
      <c r="L122" s="33"/>
      <c r="M122" s="145" t="s">
        <v>1</v>
      </c>
      <c r="N122" s="146" t="s">
        <v>47</v>
      </c>
      <c r="O122" s="147">
        <v>23.504999999999999</v>
      </c>
      <c r="P122" s="147">
        <f>O122*H122</f>
        <v>23.504999999999999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AR122" s="149" t="s">
        <v>287</v>
      </c>
      <c r="AT122" s="149" t="s">
        <v>186</v>
      </c>
      <c r="AU122" s="149" t="s">
        <v>20</v>
      </c>
      <c r="AY122" s="18" t="s">
        <v>184</v>
      </c>
      <c r="BE122" s="150">
        <f>IF(N122="základní",J122,0)</f>
        <v>21401.64</v>
      </c>
      <c r="BF122" s="150">
        <f>IF(N122="snížená",J122,0)</f>
        <v>0</v>
      </c>
      <c r="BG122" s="150">
        <f>IF(N122="zákl. přenesená",J122,0)</f>
        <v>0</v>
      </c>
      <c r="BH122" s="150">
        <f>IF(N122="sníž. přenesená",J122,0)</f>
        <v>0</v>
      </c>
      <c r="BI122" s="150">
        <f>IF(N122="nulová",J122,0)</f>
        <v>0</v>
      </c>
      <c r="BJ122" s="18" t="s">
        <v>88</v>
      </c>
      <c r="BK122" s="150">
        <f>ROUND(I122*H122,2)</f>
        <v>21401.64</v>
      </c>
      <c r="BL122" s="18" t="s">
        <v>287</v>
      </c>
      <c r="BM122" s="149" t="s">
        <v>2106</v>
      </c>
    </row>
    <row r="123" spans="2:65" s="1" customFormat="1" x14ac:dyDescent="0.3">
      <c r="B123" s="33"/>
      <c r="D123" s="151" t="s">
        <v>193</v>
      </c>
      <c r="F123" s="152" t="s">
        <v>2107</v>
      </c>
      <c r="I123" s="153"/>
      <c r="L123" s="33"/>
      <c r="M123" s="154"/>
      <c r="T123" s="57"/>
      <c r="AT123" s="18" t="s">
        <v>193</v>
      </c>
      <c r="AU123" s="18" t="s">
        <v>20</v>
      </c>
    </row>
    <row r="124" spans="2:65" s="1" customFormat="1" ht="16.5" customHeight="1" x14ac:dyDescent="0.3">
      <c r="B124" s="33"/>
      <c r="C124" s="138" t="s">
        <v>293</v>
      </c>
      <c r="D124" s="138" t="s">
        <v>186</v>
      </c>
      <c r="E124" s="139" t="s">
        <v>1248</v>
      </c>
      <c r="F124" s="140" t="s">
        <v>2108</v>
      </c>
      <c r="G124" s="141" t="s">
        <v>1250</v>
      </c>
      <c r="H124" s="142">
        <v>1</v>
      </c>
      <c r="I124" s="143">
        <v>10700.8</v>
      </c>
      <c r="J124" s="144">
        <f>ROUND(I124*H124,2)</f>
        <v>10700.8</v>
      </c>
      <c r="K124" s="140" t="s">
        <v>190</v>
      </c>
      <c r="L124" s="33"/>
      <c r="M124" s="145" t="s">
        <v>1</v>
      </c>
      <c r="N124" s="146" t="s">
        <v>47</v>
      </c>
      <c r="O124" s="147">
        <v>8.7270000000000003</v>
      </c>
      <c r="P124" s="147">
        <f>O124*H124</f>
        <v>8.7270000000000003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49" t="s">
        <v>287</v>
      </c>
      <c r="AT124" s="149" t="s">
        <v>186</v>
      </c>
      <c r="AU124" s="149" t="s">
        <v>20</v>
      </c>
      <c r="AY124" s="18" t="s">
        <v>184</v>
      </c>
      <c r="BE124" s="150">
        <f>IF(N124="základní",J124,0)</f>
        <v>10700.8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8" t="s">
        <v>88</v>
      </c>
      <c r="BK124" s="150">
        <f>ROUND(I124*H124,2)</f>
        <v>10700.8</v>
      </c>
      <c r="BL124" s="18" t="s">
        <v>287</v>
      </c>
      <c r="BM124" s="149" t="s">
        <v>2109</v>
      </c>
    </row>
    <row r="125" spans="2:65" s="1" customFormat="1" x14ac:dyDescent="0.3">
      <c r="B125" s="33"/>
      <c r="D125" s="151" t="s">
        <v>193</v>
      </c>
      <c r="F125" s="152" t="s">
        <v>2110</v>
      </c>
      <c r="I125" s="153"/>
      <c r="L125" s="33"/>
      <c r="M125" s="154"/>
      <c r="T125" s="57"/>
      <c r="AT125" s="18" t="s">
        <v>193</v>
      </c>
      <c r="AU125" s="18" t="s">
        <v>20</v>
      </c>
    </row>
    <row r="126" spans="2:65" s="1" customFormat="1" ht="24.2" customHeight="1" x14ac:dyDescent="0.3">
      <c r="B126" s="33"/>
      <c r="C126" s="138" t="s">
        <v>299</v>
      </c>
      <c r="D126" s="138" t="s">
        <v>186</v>
      </c>
      <c r="E126" s="139" t="s">
        <v>1252</v>
      </c>
      <c r="F126" s="140" t="s">
        <v>2111</v>
      </c>
      <c r="G126" s="141" t="s">
        <v>248</v>
      </c>
      <c r="H126" s="142">
        <v>0.42199999999999999</v>
      </c>
      <c r="I126" s="143">
        <v>3054.35</v>
      </c>
      <c r="J126" s="144">
        <f>ROUND(I126*H126,2)</f>
        <v>1288.94</v>
      </c>
      <c r="K126" s="140" t="s">
        <v>190</v>
      </c>
      <c r="L126" s="33"/>
      <c r="M126" s="145" t="s">
        <v>1</v>
      </c>
      <c r="N126" s="146" t="s">
        <v>47</v>
      </c>
      <c r="O126" s="147">
        <v>8.4600000000000009</v>
      </c>
      <c r="P126" s="147">
        <f>O126*H126</f>
        <v>3.5701200000000002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287</v>
      </c>
      <c r="AT126" s="149" t="s">
        <v>186</v>
      </c>
      <c r="AU126" s="149" t="s">
        <v>20</v>
      </c>
      <c r="AY126" s="18" t="s">
        <v>184</v>
      </c>
      <c r="BE126" s="150">
        <f>IF(N126="základní",J126,0)</f>
        <v>1288.94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8" t="s">
        <v>88</v>
      </c>
      <c r="BK126" s="150">
        <f>ROUND(I126*H126,2)</f>
        <v>1288.94</v>
      </c>
      <c r="BL126" s="18" t="s">
        <v>287</v>
      </c>
      <c r="BM126" s="149" t="s">
        <v>2112</v>
      </c>
    </row>
    <row r="127" spans="2:65" s="1" customFormat="1" x14ac:dyDescent="0.3">
      <c r="B127" s="33"/>
      <c r="D127" s="151" t="s">
        <v>193</v>
      </c>
      <c r="F127" s="152" t="s">
        <v>2113</v>
      </c>
      <c r="I127" s="153"/>
      <c r="L127" s="33"/>
      <c r="M127" s="154"/>
      <c r="T127" s="57"/>
      <c r="AT127" s="18" t="s">
        <v>193</v>
      </c>
      <c r="AU127" s="18" t="s">
        <v>20</v>
      </c>
    </row>
    <row r="128" spans="2:65" s="1" customFormat="1" ht="24.2" customHeight="1" x14ac:dyDescent="0.3">
      <c r="B128" s="33"/>
      <c r="C128" s="138" t="s">
        <v>305</v>
      </c>
      <c r="D128" s="138" t="s">
        <v>186</v>
      </c>
      <c r="E128" s="139" t="s">
        <v>1255</v>
      </c>
      <c r="F128" s="140" t="s">
        <v>2114</v>
      </c>
      <c r="G128" s="141" t="s">
        <v>248</v>
      </c>
      <c r="H128" s="142">
        <v>0.42199999999999999</v>
      </c>
      <c r="I128" s="143">
        <v>3054.35</v>
      </c>
      <c r="J128" s="144">
        <f>ROUND(I128*H128,2)</f>
        <v>1288.94</v>
      </c>
      <c r="K128" s="140" t="s">
        <v>190</v>
      </c>
      <c r="L128" s="33"/>
      <c r="M128" s="145" t="s">
        <v>1</v>
      </c>
      <c r="N128" s="146" t="s">
        <v>47</v>
      </c>
      <c r="O128" s="147">
        <v>3.3969999999999998</v>
      </c>
      <c r="P128" s="147">
        <f>O128*H128</f>
        <v>1.4335339999999999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287</v>
      </c>
      <c r="AT128" s="149" t="s">
        <v>186</v>
      </c>
      <c r="AU128" s="149" t="s">
        <v>20</v>
      </c>
      <c r="AY128" s="18" t="s">
        <v>184</v>
      </c>
      <c r="BE128" s="150">
        <f>IF(N128="základní",J128,0)</f>
        <v>1288.94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1288.94</v>
      </c>
      <c r="BL128" s="18" t="s">
        <v>287</v>
      </c>
      <c r="BM128" s="149" t="s">
        <v>2115</v>
      </c>
    </row>
    <row r="129" spans="2:65" s="1" customFormat="1" x14ac:dyDescent="0.3">
      <c r="B129" s="33"/>
      <c r="D129" s="151" t="s">
        <v>193</v>
      </c>
      <c r="F129" s="152" t="s">
        <v>2116</v>
      </c>
      <c r="I129" s="153"/>
      <c r="L129" s="33"/>
      <c r="M129" s="154"/>
      <c r="T129" s="57"/>
      <c r="AT129" s="18" t="s">
        <v>193</v>
      </c>
      <c r="AU129" s="18" t="s">
        <v>20</v>
      </c>
    </row>
    <row r="130" spans="2:65" s="11" customFormat="1" ht="25.9" customHeight="1" x14ac:dyDescent="0.2">
      <c r="B130" s="127"/>
      <c r="D130" s="128" t="s">
        <v>80</v>
      </c>
      <c r="E130" s="129" t="s">
        <v>271</v>
      </c>
      <c r="F130" s="129" t="s">
        <v>1258</v>
      </c>
      <c r="I130" s="171"/>
      <c r="J130" s="130">
        <f>BK130</f>
        <v>468417.28000000003</v>
      </c>
      <c r="L130" s="127"/>
      <c r="M130" s="131"/>
      <c r="P130" s="132">
        <f>P131+P146+P153</f>
        <v>146.59706</v>
      </c>
      <c r="R130" s="132">
        <f>R131+R146+R153</f>
        <v>58.887569999999997</v>
      </c>
      <c r="T130" s="133">
        <f>T131+T146+T153</f>
        <v>0</v>
      </c>
      <c r="AR130" s="128" t="s">
        <v>202</v>
      </c>
      <c r="AT130" s="134" t="s">
        <v>80</v>
      </c>
      <c r="AU130" s="134" t="s">
        <v>81</v>
      </c>
      <c r="AY130" s="128" t="s">
        <v>184</v>
      </c>
      <c r="BK130" s="135">
        <f>BK131+BK146+BK153</f>
        <v>468417.28000000003</v>
      </c>
    </row>
    <row r="131" spans="2:65" s="11" customFormat="1" ht="22.9" customHeight="1" x14ac:dyDescent="0.2">
      <c r="B131" s="127"/>
      <c r="D131" s="128" t="s">
        <v>80</v>
      </c>
      <c r="E131" s="136" t="s">
        <v>1259</v>
      </c>
      <c r="F131" s="136" t="s">
        <v>1260</v>
      </c>
      <c r="I131" s="171"/>
      <c r="J131" s="137">
        <f>BK131</f>
        <v>242698.05999999997</v>
      </c>
      <c r="L131" s="127"/>
      <c r="M131" s="131"/>
      <c r="P131" s="132">
        <f>SUM(P132:P145)</f>
        <v>48.866999999999997</v>
      </c>
      <c r="R131" s="132">
        <f>SUM(R132:R145)</f>
        <v>1.2500000000000001E-2</v>
      </c>
      <c r="T131" s="133">
        <f>SUM(T132:T145)</f>
        <v>0</v>
      </c>
      <c r="AR131" s="128" t="s">
        <v>202</v>
      </c>
      <c r="AT131" s="134" t="s">
        <v>80</v>
      </c>
      <c r="AU131" s="134" t="s">
        <v>88</v>
      </c>
      <c r="AY131" s="128" t="s">
        <v>184</v>
      </c>
      <c r="BK131" s="135">
        <f>SUM(BK132:BK145)</f>
        <v>242698.05999999997</v>
      </c>
    </row>
    <row r="132" spans="2:65" s="1" customFormat="1" ht="16.5" customHeight="1" x14ac:dyDescent="0.3">
      <c r="B132" s="33"/>
      <c r="C132" s="138" t="s">
        <v>311</v>
      </c>
      <c r="D132" s="138" t="s">
        <v>186</v>
      </c>
      <c r="E132" s="139" t="s">
        <v>1261</v>
      </c>
      <c r="F132" s="140" t="s">
        <v>1262</v>
      </c>
      <c r="G132" s="141" t="s">
        <v>557</v>
      </c>
      <c r="H132" s="142">
        <v>5</v>
      </c>
      <c r="I132" s="143">
        <v>1141.42</v>
      </c>
      <c r="J132" s="144">
        <f>ROUND(I132*H132,2)</f>
        <v>5707.1</v>
      </c>
      <c r="K132" s="140" t="s">
        <v>190</v>
      </c>
      <c r="L132" s="33"/>
      <c r="M132" s="145" t="s">
        <v>1</v>
      </c>
      <c r="N132" s="146" t="s">
        <v>47</v>
      </c>
      <c r="O132" s="147">
        <v>0.88400000000000001</v>
      </c>
      <c r="P132" s="147">
        <f>O132*H132</f>
        <v>4.42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1032</v>
      </c>
      <c r="AT132" s="149" t="s">
        <v>186</v>
      </c>
      <c r="AU132" s="149" t="s">
        <v>20</v>
      </c>
      <c r="AY132" s="18" t="s">
        <v>184</v>
      </c>
      <c r="BE132" s="150">
        <f>IF(N132="základní",J132,0)</f>
        <v>5707.1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8" t="s">
        <v>88</v>
      </c>
      <c r="BK132" s="150">
        <f>ROUND(I132*H132,2)</f>
        <v>5707.1</v>
      </c>
      <c r="BL132" s="18" t="s">
        <v>1032</v>
      </c>
      <c r="BM132" s="149" t="s">
        <v>2117</v>
      </c>
    </row>
    <row r="133" spans="2:65" s="1" customFormat="1" x14ac:dyDescent="0.3">
      <c r="B133" s="33"/>
      <c r="D133" s="151" t="s">
        <v>193</v>
      </c>
      <c r="F133" s="152" t="s">
        <v>1264</v>
      </c>
      <c r="I133" s="153"/>
      <c r="L133" s="33"/>
      <c r="M133" s="154"/>
      <c r="T133" s="57"/>
      <c r="AT133" s="18" t="s">
        <v>193</v>
      </c>
      <c r="AU133" s="18" t="s">
        <v>20</v>
      </c>
    </row>
    <row r="134" spans="2:65" s="1" customFormat="1" ht="16.5" customHeight="1" x14ac:dyDescent="0.3">
      <c r="B134" s="33"/>
      <c r="C134" s="172" t="s">
        <v>6</v>
      </c>
      <c r="D134" s="172" t="s">
        <v>271</v>
      </c>
      <c r="E134" s="173" t="s">
        <v>1265</v>
      </c>
      <c r="F134" s="174" t="s">
        <v>2118</v>
      </c>
      <c r="G134" s="175" t="s">
        <v>557</v>
      </c>
      <c r="H134" s="176">
        <v>5</v>
      </c>
      <c r="I134" s="177">
        <v>14267.73</v>
      </c>
      <c r="J134" s="178">
        <f>ROUND(I134*H134,2)</f>
        <v>71338.649999999994</v>
      </c>
      <c r="K134" s="174" t="s">
        <v>1</v>
      </c>
      <c r="L134" s="179"/>
      <c r="M134" s="180" t="s">
        <v>1</v>
      </c>
      <c r="N134" s="181" t="s">
        <v>47</v>
      </c>
      <c r="O134" s="147">
        <v>0</v>
      </c>
      <c r="P134" s="147">
        <f>O134*H134</f>
        <v>0</v>
      </c>
      <c r="Q134" s="147">
        <v>2.2000000000000001E-3</v>
      </c>
      <c r="R134" s="147">
        <f>Q134*H134</f>
        <v>1.1000000000000001E-2</v>
      </c>
      <c r="S134" s="147">
        <v>0</v>
      </c>
      <c r="T134" s="148">
        <f>S134*H134</f>
        <v>0</v>
      </c>
      <c r="AR134" s="149" t="s">
        <v>1267</v>
      </c>
      <c r="AT134" s="149" t="s">
        <v>271</v>
      </c>
      <c r="AU134" s="149" t="s">
        <v>20</v>
      </c>
      <c r="AY134" s="18" t="s">
        <v>184</v>
      </c>
      <c r="BE134" s="150">
        <f>IF(N134="základní",J134,0)</f>
        <v>71338.649999999994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8" t="s">
        <v>88</v>
      </c>
      <c r="BK134" s="150">
        <f>ROUND(I134*H134,2)</f>
        <v>71338.649999999994</v>
      </c>
      <c r="BL134" s="18" t="s">
        <v>1267</v>
      </c>
      <c r="BM134" s="149" t="s">
        <v>2119</v>
      </c>
    </row>
    <row r="135" spans="2:65" s="1" customFormat="1" ht="16.5" customHeight="1" x14ac:dyDescent="0.3">
      <c r="B135" s="33"/>
      <c r="C135" s="138" t="s">
        <v>322</v>
      </c>
      <c r="D135" s="138" t="s">
        <v>186</v>
      </c>
      <c r="E135" s="139" t="s">
        <v>1269</v>
      </c>
      <c r="F135" s="140" t="s">
        <v>2120</v>
      </c>
      <c r="G135" s="141" t="s">
        <v>557</v>
      </c>
      <c r="H135" s="142">
        <v>5</v>
      </c>
      <c r="I135" s="143">
        <v>6063.79</v>
      </c>
      <c r="J135" s="144">
        <f>ROUND(I135*H135,2)</f>
        <v>30318.95</v>
      </c>
      <c r="K135" s="140" t="s">
        <v>190</v>
      </c>
      <c r="L135" s="33"/>
      <c r="M135" s="145" t="s">
        <v>1</v>
      </c>
      <c r="N135" s="146" t="s">
        <v>47</v>
      </c>
      <c r="O135" s="147">
        <v>3.9180000000000001</v>
      </c>
      <c r="P135" s="147">
        <f>O135*H135</f>
        <v>19.59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49" t="s">
        <v>1032</v>
      </c>
      <c r="AT135" s="149" t="s">
        <v>186</v>
      </c>
      <c r="AU135" s="149" t="s">
        <v>20</v>
      </c>
      <c r="AY135" s="18" t="s">
        <v>184</v>
      </c>
      <c r="BE135" s="150">
        <f>IF(N135="základní",J135,0)</f>
        <v>30318.95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8" t="s">
        <v>88</v>
      </c>
      <c r="BK135" s="150">
        <f>ROUND(I135*H135,2)</f>
        <v>30318.95</v>
      </c>
      <c r="BL135" s="18" t="s">
        <v>1032</v>
      </c>
      <c r="BM135" s="149" t="s">
        <v>2121</v>
      </c>
    </row>
    <row r="136" spans="2:65" s="1" customFormat="1" x14ac:dyDescent="0.3">
      <c r="B136" s="33"/>
      <c r="D136" s="151" t="s">
        <v>193</v>
      </c>
      <c r="F136" s="152" t="s">
        <v>1272</v>
      </c>
      <c r="I136" s="153"/>
      <c r="L136" s="33"/>
      <c r="M136" s="154"/>
      <c r="T136" s="57"/>
      <c r="AT136" s="18" t="s">
        <v>193</v>
      </c>
      <c r="AU136" s="18" t="s">
        <v>20</v>
      </c>
    </row>
    <row r="137" spans="2:65" s="1" customFormat="1" ht="16.5" customHeight="1" x14ac:dyDescent="0.3">
      <c r="B137" s="33"/>
      <c r="C137" s="172" t="s">
        <v>328</v>
      </c>
      <c r="D137" s="172" t="s">
        <v>271</v>
      </c>
      <c r="E137" s="173" t="s">
        <v>1273</v>
      </c>
      <c r="F137" s="174" t="s">
        <v>1274</v>
      </c>
      <c r="G137" s="175" t="s">
        <v>557</v>
      </c>
      <c r="H137" s="176">
        <v>5</v>
      </c>
      <c r="I137" s="177">
        <v>19404.89</v>
      </c>
      <c r="J137" s="178">
        <f>ROUND(I137*H137,2)</f>
        <v>97024.45</v>
      </c>
      <c r="K137" s="174" t="s">
        <v>190</v>
      </c>
      <c r="L137" s="179"/>
      <c r="M137" s="180" t="s">
        <v>1</v>
      </c>
      <c r="N137" s="181" t="s">
        <v>47</v>
      </c>
      <c r="O137" s="147">
        <v>0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AR137" s="149" t="s">
        <v>1267</v>
      </c>
      <c r="AT137" s="149" t="s">
        <v>271</v>
      </c>
      <c r="AU137" s="149" t="s">
        <v>20</v>
      </c>
      <c r="AY137" s="18" t="s">
        <v>184</v>
      </c>
      <c r="BE137" s="150">
        <f>IF(N137="základní",J137,0)</f>
        <v>97024.45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8" t="s">
        <v>88</v>
      </c>
      <c r="BK137" s="150">
        <f>ROUND(I137*H137,2)</f>
        <v>97024.45</v>
      </c>
      <c r="BL137" s="18" t="s">
        <v>1267</v>
      </c>
      <c r="BM137" s="149" t="s">
        <v>2122</v>
      </c>
    </row>
    <row r="138" spans="2:65" s="1" customFormat="1" ht="16.5" customHeight="1" x14ac:dyDescent="0.3">
      <c r="B138" s="33"/>
      <c r="C138" s="138" t="s">
        <v>334</v>
      </c>
      <c r="D138" s="138" t="s">
        <v>186</v>
      </c>
      <c r="E138" s="139" t="s">
        <v>1276</v>
      </c>
      <c r="F138" s="140" t="s">
        <v>2123</v>
      </c>
      <c r="G138" s="141" t="s">
        <v>557</v>
      </c>
      <c r="H138" s="142">
        <v>5</v>
      </c>
      <c r="I138" s="143">
        <v>2853.55</v>
      </c>
      <c r="J138" s="144">
        <f>ROUND(I138*H138,2)</f>
        <v>14267.75</v>
      </c>
      <c r="K138" s="140" t="s">
        <v>190</v>
      </c>
      <c r="L138" s="33"/>
      <c r="M138" s="145" t="s">
        <v>1</v>
      </c>
      <c r="N138" s="146" t="s">
        <v>47</v>
      </c>
      <c r="O138" s="147">
        <v>1.367</v>
      </c>
      <c r="P138" s="147">
        <f>O138*H138</f>
        <v>6.835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49" t="s">
        <v>1032</v>
      </c>
      <c r="AT138" s="149" t="s">
        <v>186</v>
      </c>
      <c r="AU138" s="149" t="s">
        <v>20</v>
      </c>
      <c r="AY138" s="18" t="s">
        <v>184</v>
      </c>
      <c r="BE138" s="150">
        <f>IF(N138="základní",J138,0)</f>
        <v>14267.75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8" t="s">
        <v>88</v>
      </c>
      <c r="BK138" s="150">
        <f>ROUND(I138*H138,2)</f>
        <v>14267.75</v>
      </c>
      <c r="BL138" s="18" t="s">
        <v>1032</v>
      </c>
      <c r="BM138" s="149" t="s">
        <v>2124</v>
      </c>
    </row>
    <row r="139" spans="2:65" s="1" customFormat="1" x14ac:dyDescent="0.3">
      <c r="B139" s="33"/>
      <c r="D139" s="151" t="s">
        <v>193</v>
      </c>
      <c r="F139" s="152" t="s">
        <v>2125</v>
      </c>
      <c r="I139" s="153"/>
      <c r="L139" s="33"/>
      <c r="M139" s="154"/>
      <c r="T139" s="57"/>
      <c r="AT139" s="18" t="s">
        <v>193</v>
      </c>
      <c r="AU139" s="18" t="s">
        <v>20</v>
      </c>
    </row>
    <row r="140" spans="2:65" s="1" customFormat="1" ht="16.5" customHeight="1" x14ac:dyDescent="0.3">
      <c r="B140" s="33"/>
      <c r="C140" s="172" t="s">
        <v>340</v>
      </c>
      <c r="D140" s="172" t="s">
        <v>271</v>
      </c>
      <c r="E140" s="173" t="s">
        <v>1279</v>
      </c>
      <c r="F140" s="174" t="s">
        <v>1280</v>
      </c>
      <c r="G140" s="175" t="s">
        <v>557</v>
      </c>
      <c r="H140" s="176">
        <v>5</v>
      </c>
      <c r="I140" s="177">
        <v>527.91</v>
      </c>
      <c r="J140" s="178">
        <f>ROUND(I140*H140,2)</f>
        <v>2639.55</v>
      </c>
      <c r="K140" s="174" t="s">
        <v>190</v>
      </c>
      <c r="L140" s="179"/>
      <c r="M140" s="180" t="s">
        <v>1</v>
      </c>
      <c r="N140" s="181" t="s">
        <v>47</v>
      </c>
      <c r="O140" s="147">
        <v>0</v>
      </c>
      <c r="P140" s="147">
        <f>O140*H140</f>
        <v>0</v>
      </c>
      <c r="Q140" s="147">
        <v>2.9999999999999997E-4</v>
      </c>
      <c r="R140" s="147">
        <f>Q140*H140</f>
        <v>1.4999999999999998E-3</v>
      </c>
      <c r="S140" s="147">
        <v>0</v>
      </c>
      <c r="T140" s="148">
        <f>S140*H140</f>
        <v>0</v>
      </c>
      <c r="AR140" s="149" t="s">
        <v>1267</v>
      </c>
      <c r="AT140" s="149" t="s">
        <v>271</v>
      </c>
      <c r="AU140" s="149" t="s">
        <v>20</v>
      </c>
      <c r="AY140" s="18" t="s">
        <v>184</v>
      </c>
      <c r="BE140" s="150">
        <f>IF(N140="základní",J140,0)</f>
        <v>2639.55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8" t="s">
        <v>88</v>
      </c>
      <c r="BK140" s="150">
        <f>ROUND(I140*H140,2)</f>
        <v>2639.55</v>
      </c>
      <c r="BL140" s="18" t="s">
        <v>1267</v>
      </c>
      <c r="BM140" s="149" t="s">
        <v>2126</v>
      </c>
    </row>
    <row r="141" spans="2:65" s="1" customFormat="1" ht="16.5" customHeight="1" x14ac:dyDescent="0.3">
      <c r="B141" s="33"/>
      <c r="C141" s="138" t="s">
        <v>346</v>
      </c>
      <c r="D141" s="138" t="s">
        <v>186</v>
      </c>
      <c r="E141" s="139" t="s">
        <v>1282</v>
      </c>
      <c r="F141" s="140" t="s">
        <v>2127</v>
      </c>
      <c r="G141" s="141" t="s">
        <v>557</v>
      </c>
      <c r="H141" s="142">
        <v>1</v>
      </c>
      <c r="I141" s="143">
        <v>12840.96</v>
      </c>
      <c r="J141" s="144">
        <f>ROUND(I141*H141,2)</f>
        <v>12840.96</v>
      </c>
      <c r="K141" s="140" t="s">
        <v>190</v>
      </c>
      <c r="L141" s="33"/>
      <c r="M141" s="145" t="s">
        <v>1</v>
      </c>
      <c r="N141" s="146" t="s">
        <v>47</v>
      </c>
      <c r="O141" s="147">
        <v>10.968999999999999</v>
      </c>
      <c r="P141" s="147">
        <f>O141*H141</f>
        <v>10.968999999999999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1032</v>
      </c>
      <c r="AT141" s="149" t="s">
        <v>186</v>
      </c>
      <c r="AU141" s="149" t="s">
        <v>20</v>
      </c>
      <c r="AY141" s="18" t="s">
        <v>184</v>
      </c>
      <c r="BE141" s="150">
        <f>IF(N141="základní",J141,0)</f>
        <v>12840.96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8" t="s">
        <v>88</v>
      </c>
      <c r="BK141" s="150">
        <f>ROUND(I141*H141,2)</f>
        <v>12840.96</v>
      </c>
      <c r="BL141" s="18" t="s">
        <v>1032</v>
      </c>
      <c r="BM141" s="149" t="s">
        <v>2128</v>
      </c>
    </row>
    <row r="142" spans="2:65" s="1" customFormat="1" x14ac:dyDescent="0.3">
      <c r="B142" s="33"/>
      <c r="D142" s="151" t="s">
        <v>193</v>
      </c>
      <c r="F142" s="152" t="s">
        <v>1285</v>
      </c>
      <c r="I142" s="153"/>
      <c r="L142" s="33"/>
      <c r="M142" s="154"/>
      <c r="T142" s="57"/>
      <c r="AT142" s="18" t="s">
        <v>193</v>
      </c>
      <c r="AU142" s="18" t="s">
        <v>20</v>
      </c>
    </row>
    <row r="143" spans="2:65" s="1" customFormat="1" ht="19.5" x14ac:dyDescent="0.3">
      <c r="B143" s="33"/>
      <c r="D143" s="156" t="s">
        <v>236</v>
      </c>
      <c r="F143" s="170" t="s">
        <v>1286</v>
      </c>
      <c r="I143" s="153"/>
      <c r="L143" s="33"/>
      <c r="M143" s="154"/>
      <c r="T143" s="57"/>
      <c r="AT143" s="18" t="s">
        <v>236</v>
      </c>
      <c r="AU143" s="18" t="s">
        <v>20</v>
      </c>
    </row>
    <row r="144" spans="2:65" s="1" customFormat="1" ht="16.5" customHeight="1" x14ac:dyDescent="0.3">
      <c r="B144" s="33"/>
      <c r="C144" s="138" t="s">
        <v>353</v>
      </c>
      <c r="D144" s="138" t="s">
        <v>186</v>
      </c>
      <c r="E144" s="139" t="s">
        <v>1287</v>
      </c>
      <c r="F144" s="140" t="s">
        <v>2129</v>
      </c>
      <c r="G144" s="141" t="s">
        <v>557</v>
      </c>
      <c r="H144" s="142">
        <v>3</v>
      </c>
      <c r="I144" s="143">
        <v>2853.55</v>
      </c>
      <c r="J144" s="144">
        <f>ROUND(I144*H144,2)</f>
        <v>8560.65</v>
      </c>
      <c r="K144" s="140" t="s">
        <v>190</v>
      </c>
      <c r="L144" s="33"/>
      <c r="M144" s="145" t="s">
        <v>1</v>
      </c>
      <c r="N144" s="146" t="s">
        <v>47</v>
      </c>
      <c r="O144" s="147">
        <v>2.351</v>
      </c>
      <c r="P144" s="147">
        <f>O144*H144</f>
        <v>7.0529999999999999</v>
      </c>
      <c r="Q144" s="147">
        <v>0</v>
      </c>
      <c r="R144" s="147">
        <f>Q144*H144</f>
        <v>0</v>
      </c>
      <c r="S144" s="147">
        <v>0</v>
      </c>
      <c r="T144" s="148">
        <f>S144*H144</f>
        <v>0</v>
      </c>
      <c r="AR144" s="149" t="s">
        <v>1032</v>
      </c>
      <c r="AT144" s="149" t="s">
        <v>186</v>
      </c>
      <c r="AU144" s="149" t="s">
        <v>20</v>
      </c>
      <c r="AY144" s="18" t="s">
        <v>184</v>
      </c>
      <c r="BE144" s="150">
        <f>IF(N144="základní",J144,0)</f>
        <v>8560.65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8" t="s">
        <v>88</v>
      </c>
      <c r="BK144" s="150">
        <f>ROUND(I144*H144,2)</f>
        <v>8560.65</v>
      </c>
      <c r="BL144" s="18" t="s">
        <v>1032</v>
      </c>
      <c r="BM144" s="149" t="s">
        <v>2130</v>
      </c>
    </row>
    <row r="145" spans="2:65" s="1" customFormat="1" x14ac:dyDescent="0.3">
      <c r="B145" s="33"/>
      <c r="D145" s="151" t="s">
        <v>193</v>
      </c>
      <c r="F145" s="152" t="s">
        <v>1290</v>
      </c>
      <c r="I145" s="153"/>
      <c r="L145" s="33"/>
      <c r="M145" s="154"/>
      <c r="T145" s="57"/>
      <c r="AT145" s="18" t="s">
        <v>193</v>
      </c>
      <c r="AU145" s="18" t="s">
        <v>20</v>
      </c>
    </row>
    <row r="146" spans="2:65" s="11" customFormat="1" ht="22.9" customHeight="1" x14ac:dyDescent="0.2">
      <c r="B146" s="127"/>
      <c r="D146" s="128" t="s">
        <v>80</v>
      </c>
      <c r="E146" s="136" t="s">
        <v>1291</v>
      </c>
      <c r="F146" s="136" t="s">
        <v>1292</v>
      </c>
      <c r="I146" s="171"/>
      <c r="J146" s="137">
        <f>BK146</f>
        <v>69198.570000000007</v>
      </c>
      <c r="L146" s="127"/>
      <c r="M146" s="131"/>
      <c r="P146" s="132">
        <f>SUM(P147:P152)</f>
        <v>13.6</v>
      </c>
      <c r="R146" s="132">
        <f>SUM(R147:R152)</f>
        <v>0</v>
      </c>
      <c r="T146" s="133">
        <f>SUM(T147:T152)</f>
        <v>0</v>
      </c>
      <c r="AR146" s="128" t="s">
        <v>202</v>
      </c>
      <c r="AT146" s="134" t="s">
        <v>80</v>
      </c>
      <c r="AU146" s="134" t="s">
        <v>88</v>
      </c>
      <c r="AY146" s="128" t="s">
        <v>184</v>
      </c>
      <c r="BK146" s="135">
        <f>SUM(BK147:BK152)</f>
        <v>69198.570000000007</v>
      </c>
    </row>
    <row r="147" spans="2:65" s="1" customFormat="1" ht="16.5" customHeight="1" x14ac:dyDescent="0.3">
      <c r="B147" s="33"/>
      <c r="C147" s="138" t="s">
        <v>360</v>
      </c>
      <c r="D147" s="138" t="s">
        <v>186</v>
      </c>
      <c r="E147" s="139" t="s">
        <v>1293</v>
      </c>
      <c r="F147" s="140" t="s">
        <v>1294</v>
      </c>
      <c r="G147" s="141" t="s">
        <v>557</v>
      </c>
      <c r="H147" s="142">
        <v>6</v>
      </c>
      <c r="I147" s="143">
        <v>2853.55</v>
      </c>
      <c r="J147" s="144">
        <f>ROUND(I147*H147,2)</f>
        <v>17121.3</v>
      </c>
      <c r="K147" s="140" t="s">
        <v>190</v>
      </c>
      <c r="L147" s="33"/>
      <c r="M147" s="145" t="s">
        <v>1</v>
      </c>
      <c r="N147" s="146" t="s">
        <v>47</v>
      </c>
      <c r="O147" s="147">
        <v>2</v>
      </c>
      <c r="P147" s="147">
        <f>O147*H147</f>
        <v>12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1032</v>
      </c>
      <c r="AT147" s="149" t="s">
        <v>186</v>
      </c>
      <c r="AU147" s="149" t="s">
        <v>20</v>
      </c>
      <c r="AY147" s="18" t="s">
        <v>184</v>
      </c>
      <c r="BE147" s="150">
        <f>IF(N147="základní",J147,0)</f>
        <v>17121.3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8" t="s">
        <v>88</v>
      </c>
      <c r="BK147" s="150">
        <f>ROUND(I147*H147,2)</f>
        <v>17121.3</v>
      </c>
      <c r="BL147" s="18" t="s">
        <v>1032</v>
      </c>
      <c r="BM147" s="149" t="s">
        <v>2131</v>
      </c>
    </row>
    <row r="148" spans="2:65" s="1" customFormat="1" x14ac:dyDescent="0.3">
      <c r="B148" s="33"/>
      <c r="D148" s="151" t="s">
        <v>193</v>
      </c>
      <c r="F148" s="152" t="s">
        <v>1296</v>
      </c>
      <c r="I148" s="153"/>
      <c r="L148" s="33"/>
      <c r="M148" s="154"/>
      <c r="T148" s="57"/>
      <c r="AT148" s="18" t="s">
        <v>193</v>
      </c>
      <c r="AU148" s="18" t="s">
        <v>20</v>
      </c>
    </row>
    <row r="149" spans="2:65" s="1" customFormat="1" ht="16.5" customHeight="1" x14ac:dyDescent="0.3">
      <c r="B149" s="33"/>
      <c r="C149" s="172" t="s">
        <v>368</v>
      </c>
      <c r="D149" s="172" t="s">
        <v>271</v>
      </c>
      <c r="E149" s="173" t="s">
        <v>1297</v>
      </c>
      <c r="F149" s="174" t="s">
        <v>1298</v>
      </c>
      <c r="G149" s="175" t="s">
        <v>557</v>
      </c>
      <c r="H149" s="176">
        <v>6</v>
      </c>
      <c r="I149" s="177">
        <v>7133.87</v>
      </c>
      <c r="J149" s="178">
        <f>ROUND(I149*H149,2)</f>
        <v>42803.22</v>
      </c>
      <c r="K149" s="174" t="s">
        <v>190</v>
      </c>
      <c r="L149" s="179"/>
      <c r="M149" s="180" t="s">
        <v>1</v>
      </c>
      <c r="N149" s="181" t="s">
        <v>47</v>
      </c>
      <c r="O149" s="147">
        <v>0</v>
      </c>
      <c r="P149" s="147">
        <f>O149*H149</f>
        <v>0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1299</v>
      </c>
      <c r="AT149" s="149" t="s">
        <v>271</v>
      </c>
      <c r="AU149" s="149" t="s">
        <v>20</v>
      </c>
      <c r="AY149" s="18" t="s">
        <v>184</v>
      </c>
      <c r="BE149" s="150">
        <f>IF(N149="základní",J149,0)</f>
        <v>42803.22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8" t="s">
        <v>88</v>
      </c>
      <c r="BK149" s="150">
        <f>ROUND(I149*H149,2)</f>
        <v>42803.22</v>
      </c>
      <c r="BL149" s="18" t="s">
        <v>1032</v>
      </c>
      <c r="BM149" s="149" t="s">
        <v>2132</v>
      </c>
    </row>
    <row r="150" spans="2:65" s="1" customFormat="1" ht="16.5" customHeight="1" x14ac:dyDescent="0.3">
      <c r="B150" s="33"/>
      <c r="C150" s="138" t="s">
        <v>376</v>
      </c>
      <c r="D150" s="138" t="s">
        <v>186</v>
      </c>
      <c r="E150" s="139" t="s">
        <v>1301</v>
      </c>
      <c r="F150" s="140" t="s">
        <v>2133</v>
      </c>
      <c r="G150" s="141" t="s">
        <v>557</v>
      </c>
      <c r="H150" s="142">
        <v>5</v>
      </c>
      <c r="I150" s="143">
        <v>713.39</v>
      </c>
      <c r="J150" s="144">
        <f>ROUND(I150*H150,2)</f>
        <v>3566.95</v>
      </c>
      <c r="K150" s="140" t="s">
        <v>190</v>
      </c>
      <c r="L150" s="33"/>
      <c r="M150" s="145" t="s">
        <v>1</v>
      </c>
      <c r="N150" s="146" t="s">
        <v>47</v>
      </c>
      <c r="O150" s="147">
        <v>0.32</v>
      </c>
      <c r="P150" s="147">
        <f>O150*H150</f>
        <v>1.6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49" t="s">
        <v>191</v>
      </c>
      <c r="AT150" s="149" t="s">
        <v>186</v>
      </c>
      <c r="AU150" s="149" t="s">
        <v>20</v>
      </c>
      <c r="AY150" s="18" t="s">
        <v>184</v>
      </c>
      <c r="BE150" s="150">
        <f>IF(N150="základní",J150,0)</f>
        <v>3566.95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8" t="s">
        <v>88</v>
      </c>
      <c r="BK150" s="150">
        <f>ROUND(I150*H150,2)</f>
        <v>3566.95</v>
      </c>
      <c r="BL150" s="18" t="s">
        <v>191</v>
      </c>
      <c r="BM150" s="149" t="s">
        <v>2134</v>
      </c>
    </row>
    <row r="151" spans="2:65" s="1" customFormat="1" x14ac:dyDescent="0.3">
      <c r="B151" s="33"/>
      <c r="D151" s="151" t="s">
        <v>193</v>
      </c>
      <c r="F151" s="152" t="s">
        <v>2135</v>
      </c>
      <c r="I151" s="153"/>
      <c r="L151" s="33"/>
      <c r="M151" s="154"/>
      <c r="T151" s="57"/>
      <c r="AT151" s="18" t="s">
        <v>193</v>
      </c>
      <c r="AU151" s="18" t="s">
        <v>20</v>
      </c>
    </row>
    <row r="152" spans="2:65" s="1" customFormat="1" ht="16.5" customHeight="1" x14ac:dyDescent="0.3">
      <c r="B152" s="33"/>
      <c r="C152" s="172" t="s">
        <v>385</v>
      </c>
      <c r="D152" s="172" t="s">
        <v>271</v>
      </c>
      <c r="E152" s="173" t="s">
        <v>1304</v>
      </c>
      <c r="F152" s="174" t="s">
        <v>2136</v>
      </c>
      <c r="G152" s="175" t="s">
        <v>557</v>
      </c>
      <c r="H152" s="176">
        <v>5</v>
      </c>
      <c r="I152" s="177">
        <v>1141.42</v>
      </c>
      <c r="J152" s="178">
        <f>ROUND(I152*H152,2)</f>
        <v>5707.1</v>
      </c>
      <c r="K152" s="174" t="s">
        <v>1</v>
      </c>
      <c r="L152" s="179"/>
      <c r="M152" s="180" t="s">
        <v>1</v>
      </c>
      <c r="N152" s="181" t="s">
        <v>47</v>
      </c>
      <c r="O152" s="147">
        <v>0</v>
      </c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239</v>
      </c>
      <c r="AT152" s="149" t="s">
        <v>271</v>
      </c>
      <c r="AU152" s="149" t="s">
        <v>20</v>
      </c>
      <c r="AY152" s="18" t="s">
        <v>184</v>
      </c>
      <c r="BE152" s="150">
        <f>IF(N152="základní",J152,0)</f>
        <v>5707.1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8" t="s">
        <v>88</v>
      </c>
      <c r="BK152" s="150">
        <f>ROUND(I152*H152,2)</f>
        <v>5707.1</v>
      </c>
      <c r="BL152" s="18" t="s">
        <v>191</v>
      </c>
      <c r="BM152" s="149" t="s">
        <v>2137</v>
      </c>
    </row>
    <row r="153" spans="2:65" s="11" customFormat="1" ht="22.9" customHeight="1" x14ac:dyDescent="0.2">
      <c r="B153" s="127"/>
      <c r="D153" s="128" t="s">
        <v>80</v>
      </c>
      <c r="E153" s="136" t="s">
        <v>1307</v>
      </c>
      <c r="F153" s="136" t="s">
        <v>1308</v>
      </c>
      <c r="I153" s="171"/>
      <c r="J153" s="137">
        <f>BK153</f>
        <v>156520.65000000002</v>
      </c>
      <c r="L153" s="127"/>
      <c r="M153" s="131"/>
      <c r="P153" s="132">
        <f>SUM(P154:P181)</f>
        <v>84.130060000000014</v>
      </c>
      <c r="R153" s="132">
        <f>SUM(R154:R181)</f>
        <v>58.875069999999994</v>
      </c>
      <c r="T153" s="133">
        <f>SUM(T154:T181)</f>
        <v>0</v>
      </c>
      <c r="AR153" s="128" t="s">
        <v>202</v>
      </c>
      <c r="AT153" s="134" t="s">
        <v>80</v>
      </c>
      <c r="AU153" s="134" t="s">
        <v>88</v>
      </c>
      <c r="AY153" s="128" t="s">
        <v>184</v>
      </c>
      <c r="BK153" s="135">
        <f>SUM(BK154:BK181)</f>
        <v>156520.65000000002</v>
      </c>
    </row>
    <row r="154" spans="2:65" s="1" customFormat="1" ht="33" customHeight="1" x14ac:dyDescent="0.3">
      <c r="B154" s="33"/>
      <c r="C154" s="138" t="s">
        <v>392</v>
      </c>
      <c r="D154" s="138" t="s">
        <v>186</v>
      </c>
      <c r="E154" s="139" t="s">
        <v>1309</v>
      </c>
      <c r="F154" s="140" t="s">
        <v>2138</v>
      </c>
      <c r="G154" s="141" t="s">
        <v>217</v>
      </c>
      <c r="H154" s="142">
        <v>5</v>
      </c>
      <c r="I154" s="143">
        <v>610.87</v>
      </c>
      <c r="J154" s="144">
        <f>ROUND(I154*H154,2)</f>
        <v>3054.35</v>
      </c>
      <c r="K154" s="140" t="s">
        <v>190</v>
      </c>
      <c r="L154" s="33"/>
      <c r="M154" s="145" t="s">
        <v>1</v>
      </c>
      <c r="N154" s="146" t="s">
        <v>47</v>
      </c>
      <c r="O154" s="147">
        <v>0.27200000000000002</v>
      </c>
      <c r="P154" s="147">
        <f>O154*H154</f>
        <v>1.36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49" t="s">
        <v>1032</v>
      </c>
      <c r="AT154" s="149" t="s">
        <v>186</v>
      </c>
      <c r="AU154" s="149" t="s">
        <v>20</v>
      </c>
      <c r="AY154" s="18" t="s">
        <v>184</v>
      </c>
      <c r="BE154" s="150">
        <f>IF(N154="základní",J154,0)</f>
        <v>3054.35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88</v>
      </c>
      <c r="BK154" s="150">
        <f>ROUND(I154*H154,2)</f>
        <v>3054.35</v>
      </c>
      <c r="BL154" s="18" t="s">
        <v>1032</v>
      </c>
      <c r="BM154" s="149" t="s">
        <v>2139</v>
      </c>
    </row>
    <row r="155" spans="2:65" s="1" customFormat="1" x14ac:dyDescent="0.3">
      <c r="B155" s="33"/>
      <c r="D155" s="151" t="s">
        <v>193</v>
      </c>
      <c r="F155" s="152" t="s">
        <v>1312</v>
      </c>
      <c r="I155" s="153"/>
      <c r="L155" s="33"/>
      <c r="M155" s="154"/>
      <c r="T155" s="57"/>
      <c r="AT155" s="18" t="s">
        <v>193</v>
      </c>
      <c r="AU155" s="18" t="s">
        <v>20</v>
      </c>
    </row>
    <row r="156" spans="2:65" s="12" customFormat="1" ht="11.25" x14ac:dyDescent="0.3">
      <c r="B156" s="155"/>
      <c r="D156" s="156" t="s">
        <v>195</v>
      </c>
      <c r="E156" s="157" t="s">
        <v>1</v>
      </c>
      <c r="F156" s="158" t="s">
        <v>2140</v>
      </c>
      <c r="H156" s="159">
        <v>5</v>
      </c>
      <c r="I156" s="160"/>
      <c r="L156" s="155"/>
      <c r="M156" s="161"/>
      <c r="T156" s="162"/>
      <c r="AT156" s="157" t="s">
        <v>195</v>
      </c>
      <c r="AU156" s="157" t="s">
        <v>20</v>
      </c>
      <c r="AV156" s="12" t="s">
        <v>20</v>
      </c>
      <c r="AW156" s="12" t="s">
        <v>37</v>
      </c>
      <c r="AX156" s="12" t="s">
        <v>88</v>
      </c>
      <c r="AY156" s="157" t="s">
        <v>184</v>
      </c>
    </row>
    <row r="157" spans="2:65" s="1" customFormat="1" ht="37.9" customHeight="1" x14ac:dyDescent="0.3">
      <c r="B157" s="33"/>
      <c r="C157" s="138" t="s">
        <v>621</v>
      </c>
      <c r="D157" s="138" t="s">
        <v>186</v>
      </c>
      <c r="E157" s="139" t="s">
        <v>1314</v>
      </c>
      <c r="F157" s="140" t="s">
        <v>2141</v>
      </c>
      <c r="G157" s="141" t="s">
        <v>210</v>
      </c>
      <c r="H157" s="142">
        <v>133</v>
      </c>
      <c r="I157" s="143">
        <v>244.35</v>
      </c>
      <c r="J157" s="144">
        <f>ROUND(I157*H157,2)</f>
        <v>32498.55</v>
      </c>
      <c r="K157" s="140" t="s">
        <v>190</v>
      </c>
      <c r="L157" s="33"/>
      <c r="M157" s="145" t="s">
        <v>1</v>
      </c>
      <c r="N157" s="146" t="s">
        <v>47</v>
      </c>
      <c r="O157" s="147">
        <v>0.16700000000000001</v>
      </c>
      <c r="P157" s="147">
        <f>O157*H157</f>
        <v>22.211000000000002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AR157" s="149" t="s">
        <v>1032</v>
      </c>
      <c r="AT157" s="149" t="s">
        <v>186</v>
      </c>
      <c r="AU157" s="149" t="s">
        <v>20</v>
      </c>
      <c r="AY157" s="18" t="s">
        <v>184</v>
      </c>
      <c r="BE157" s="150">
        <f>IF(N157="základní",J157,0)</f>
        <v>32498.55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8" t="s">
        <v>88</v>
      </c>
      <c r="BK157" s="150">
        <f>ROUND(I157*H157,2)</f>
        <v>32498.55</v>
      </c>
      <c r="BL157" s="18" t="s">
        <v>1032</v>
      </c>
      <c r="BM157" s="149" t="s">
        <v>2142</v>
      </c>
    </row>
    <row r="158" spans="2:65" s="1" customFormat="1" x14ac:dyDescent="0.3">
      <c r="B158" s="33"/>
      <c r="D158" s="151" t="s">
        <v>193</v>
      </c>
      <c r="F158" s="152" t="s">
        <v>1317</v>
      </c>
      <c r="I158" s="153"/>
      <c r="L158" s="33"/>
      <c r="M158" s="154"/>
      <c r="T158" s="57"/>
      <c r="AT158" s="18" t="s">
        <v>193</v>
      </c>
      <c r="AU158" s="18" t="s">
        <v>20</v>
      </c>
    </row>
    <row r="159" spans="2:65" s="1" customFormat="1" ht="24.2" customHeight="1" x14ac:dyDescent="0.3">
      <c r="B159" s="33"/>
      <c r="C159" s="138" t="s">
        <v>630</v>
      </c>
      <c r="D159" s="138" t="s">
        <v>186</v>
      </c>
      <c r="E159" s="139" t="s">
        <v>1318</v>
      </c>
      <c r="F159" s="140" t="s">
        <v>2143</v>
      </c>
      <c r="G159" s="141" t="s">
        <v>217</v>
      </c>
      <c r="H159" s="142">
        <v>23.62</v>
      </c>
      <c r="I159" s="143">
        <v>142.68</v>
      </c>
      <c r="J159" s="144">
        <f>ROUND(I159*H159,2)</f>
        <v>3370.1</v>
      </c>
      <c r="K159" s="140" t="s">
        <v>190</v>
      </c>
      <c r="L159" s="33"/>
      <c r="M159" s="145" t="s">
        <v>1</v>
      </c>
      <c r="N159" s="146" t="s">
        <v>47</v>
      </c>
      <c r="O159" s="147">
        <v>9.4E-2</v>
      </c>
      <c r="P159" s="147">
        <f>O159*H159</f>
        <v>2.2202800000000003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AR159" s="149" t="s">
        <v>1032</v>
      </c>
      <c r="AT159" s="149" t="s">
        <v>186</v>
      </c>
      <c r="AU159" s="149" t="s">
        <v>20</v>
      </c>
      <c r="AY159" s="18" t="s">
        <v>184</v>
      </c>
      <c r="BE159" s="150">
        <f>IF(N159="základní",J159,0)</f>
        <v>3370.1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8" t="s">
        <v>88</v>
      </c>
      <c r="BK159" s="150">
        <f>ROUND(I159*H159,2)</f>
        <v>3370.1</v>
      </c>
      <c r="BL159" s="18" t="s">
        <v>1032</v>
      </c>
      <c r="BM159" s="149" t="s">
        <v>2144</v>
      </c>
    </row>
    <row r="160" spans="2:65" s="1" customFormat="1" x14ac:dyDescent="0.3">
      <c r="B160" s="33"/>
      <c r="D160" s="151" t="s">
        <v>193</v>
      </c>
      <c r="F160" s="152" t="s">
        <v>1321</v>
      </c>
      <c r="I160" s="153"/>
      <c r="L160" s="33"/>
      <c r="M160" s="154"/>
      <c r="T160" s="57"/>
      <c r="AT160" s="18" t="s">
        <v>193</v>
      </c>
      <c r="AU160" s="18" t="s">
        <v>20</v>
      </c>
    </row>
    <row r="161" spans="2:65" s="12" customFormat="1" ht="11.25" x14ac:dyDescent="0.3">
      <c r="B161" s="155"/>
      <c r="D161" s="156" t="s">
        <v>195</v>
      </c>
      <c r="E161" s="157" t="s">
        <v>1</v>
      </c>
      <c r="F161" s="158" t="s">
        <v>2145</v>
      </c>
      <c r="H161" s="159">
        <v>23.62</v>
      </c>
      <c r="I161" s="160"/>
      <c r="L161" s="155"/>
      <c r="M161" s="161"/>
      <c r="T161" s="162"/>
      <c r="AT161" s="157" t="s">
        <v>195</v>
      </c>
      <c r="AU161" s="157" t="s">
        <v>20</v>
      </c>
      <c r="AV161" s="12" t="s">
        <v>20</v>
      </c>
      <c r="AW161" s="12" t="s">
        <v>37</v>
      </c>
      <c r="AX161" s="12" t="s">
        <v>88</v>
      </c>
      <c r="AY161" s="157" t="s">
        <v>184</v>
      </c>
    </row>
    <row r="162" spans="2:65" s="1" customFormat="1" ht="33" customHeight="1" x14ac:dyDescent="0.3">
      <c r="B162" s="33"/>
      <c r="C162" s="138" t="s">
        <v>635</v>
      </c>
      <c r="D162" s="138" t="s">
        <v>186</v>
      </c>
      <c r="E162" s="139" t="s">
        <v>1323</v>
      </c>
      <c r="F162" s="140" t="s">
        <v>2146</v>
      </c>
      <c r="G162" s="141" t="s">
        <v>217</v>
      </c>
      <c r="H162" s="142">
        <v>307.06</v>
      </c>
      <c r="I162" s="143">
        <v>7.13</v>
      </c>
      <c r="J162" s="144">
        <f>ROUND(I162*H162,2)</f>
        <v>2189.34</v>
      </c>
      <c r="K162" s="140" t="s">
        <v>190</v>
      </c>
      <c r="L162" s="33"/>
      <c r="M162" s="145" t="s">
        <v>1</v>
      </c>
      <c r="N162" s="146" t="s">
        <v>47</v>
      </c>
      <c r="O162" s="147">
        <v>1.2999999999999999E-2</v>
      </c>
      <c r="P162" s="147">
        <f>O162*H162</f>
        <v>3.9917799999999999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AR162" s="149" t="s">
        <v>1032</v>
      </c>
      <c r="AT162" s="149" t="s">
        <v>186</v>
      </c>
      <c r="AU162" s="149" t="s">
        <v>20</v>
      </c>
      <c r="AY162" s="18" t="s">
        <v>184</v>
      </c>
      <c r="BE162" s="150">
        <f>IF(N162="základní",J162,0)</f>
        <v>2189.34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8" t="s">
        <v>88</v>
      </c>
      <c r="BK162" s="150">
        <f>ROUND(I162*H162,2)</f>
        <v>2189.34</v>
      </c>
      <c r="BL162" s="18" t="s">
        <v>1032</v>
      </c>
      <c r="BM162" s="149" t="s">
        <v>2147</v>
      </c>
    </row>
    <row r="163" spans="2:65" s="1" customFormat="1" x14ac:dyDescent="0.3">
      <c r="B163" s="33"/>
      <c r="D163" s="151" t="s">
        <v>193</v>
      </c>
      <c r="F163" s="152" t="s">
        <v>1326</v>
      </c>
      <c r="I163" s="153"/>
      <c r="L163" s="33"/>
      <c r="M163" s="154"/>
      <c r="T163" s="57"/>
      <c r="AT163" s="18" t="s">
        <v>193</v>
      </c>
      <c r="AU163" s="18" t="s">
        <v>20</v>
      </c>
    </row>
    <row r="164" spans="2:65" s="1" customFormat="1" ht="19.5" x14ac:dyDescent="0.3">
      <c r="B164" s="33"/>
      <c r="D164" s="156" t="s">
        <v>236</v>
      </c>
      <c r="F164" s="170" t="s">
        <v>1327</v>
      </c>
      <c r="I164" s="153"/>
      <c r="L164" s="33"/>
      <c r="M164" s="154"/>
      <c r="T164" s="57"/>
      <c r="AT164" s="18" t="s">
        <v>236</v>
      </c>
      <c r="AU164" s="18" t="s">
        <v>20</v>
      </c>
    </row>
    <row r="165" spans="2:65" s="12" customFormat="1" ht="11.25" x14ac:dyDescent="0.3">
      <c r="B165" s="155"/>
      <c r="D165" s="156" t="s">
        <v>195</v>
      </c>
      <c r="E165" s="157" t="s">
        <v>1</v>
      </c>
      <c r="F165" s="158" t="s">
        <v>2148</v>
      </c>
      <c r="H165" s="159">
        <v>307.06</v>
      </c>
      <c r="I165" s="160"/>
      <c r="L165" s="155"/>
      <c r="M165" s="161"/>
      <c r="T165" s="162"/>
      <c r="AT165" s="157" t="s">
        <v>195</v>
      </c>
      <c r="AU165" s="157" t="s">
        <v>20</v>
      </c>
      <c r="AV165" s="12" t="s">
        <v>20</v>
      </c>
      <c r="AW165" s="12" t="s">
        <v>37</v>
      </c>
      <c r="AX165" s="12" t="s">
        <v>88</v>
      </c>
      <c r="AY165" s="157" t="s">
        <v>184</v>
      </c>
    </row>
    <row r="166" spans="2:65" s="1" customFormat="1" ht="21.75" customHeight="1" x14ac:dyDescent="0.3">
      <c r="B166" s="33"/>
      <c r="C166" s="138" t="s">
        <v>642</v>
      </c>
      <c r="D166" s="138" t="s">
        <v>186</v>
      </c>
      <c r="E166" s="139" t="s">
        <v>1329</v>
      </c>
      <c r="F166" s="140" t="s">
        <v>2149</v>
      </c>
      <c r="G166" s="141" t="s">
        <v>248</v>
      </c>
      <c r="H166" s="142">
        <v>47.24</v>
      </c>
      <c r="I166" s="143">
        <v>256.7</v>
      </c>
      <c r="J166" s="144">
        <f>ROUND(I166*H166,2)</f>
        <v>12126.51</v>
      </c>
      <c r="K166" s="140" t="s">
        <v>190</v>
      </c>
      <c r="L166" s="33"/>
      <c r="M166" s="145" t="s">
        <v>1</v>
      </c>
      <c r="N166" s="146" t="s">
        <v>47</v>
      </c>
      <c r="O166" s="147">
        <v>0</v>
      </c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49" t="s">
        <v>1032</v>
      </c>
      <c r="AT166" s="149" t="s">
        <v>186</v>
      </c>
      <c r="AU166" s="149" t="s">
        <v>20</v>
      </c>
      <c r="AY166" s="18" t="s">
        <v>184</v>
      </c>
      <c r="BE166" s="150">
        <f>IF(N166="základní",J166,0)</f>
        <v>12126.51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8" t="s">
        <v>88</v>
      </c>
      <c r="BK166" s="150">
        <f>ROUND(I166*H166,2)</f>
        <v>12126.51</v>
      </c>
      <c r="BL166" s="18" t="s">
        <v>1032</v>
      </c>
      <c r="BM166" s="149" t="s">
        <v>2150</v>
      </c>
    </row>
    <row r="167" spans="2:65" s="1" customFormat="1" x14ac:dyDescent="0.3">
      <c r="B167" s="33"/>
      <c r="D167" s="151" t="s">
        <v>193</v>
      </c>
      <c r="F167" s="152" t="s">
        <v>1332</v>
      </c>
      <c r="I167" s="153"/>
      <c r="L167" s="33"/>
      <c r="M167" s="154"/>
      <c r="T167" s="57"/>
      <c r="AT167" s="18" t="s">
        <v>193</v>
      </c>
      <c r="AU167" s="18" t="s">
        <v>20</v>
      </c>
    </row>
    <row r="168" spans="2:65" s="12" customFormat="1" ht="11.25" x14ac:dyDescent="0.3">
      <c r="B168" s="155"/>
      <c r="D168" s="156" t="s">
        <v>195</v>
      </c>
      <c r="E168" s="157" t="s">
        <v>1</v>
      </c>
      <c r="F168" s="158" t="s">
        <v>2151</v>
      </c>
      <c r="H168" s="159">
        <v>47.24</v>
      </c>
      <c r="I168" s="160"/>
      <c r="L168" s="155"/>
      <c r="M168" s="161"/>
      <c r="T168" s="162"/>
      <c r="AT168" s="157" t="s">
        <v>195</v>
      </c>
      <c r="AU168" s="157" t="s">
        <v>20</v>
      </c>
      <c r="AV168" s="12" t="s">
        <v>20</v>
      </c>
      <c r="AW168" s="12" t="s">
        <v>37</v>
      </c>
      <c r="AX168" s="12" t="s">
        <v>88</v>
      </c>
      <c r="AY168" s="157" t="s">
        <v>184</v>
      </c>
    </row>
    <row r="169" spans="2:65" s="1" customFormat="1" ht="33" customHeight="1" x14ac:dyDescent="0.3">
      <c r="B169" s="33"/>
      <c r="C169" s="138" t="s">
        <v>647</v>
      </c>
      <c r="D169" s="138" t="s">
        <v>186</v>
      </c>
      <c r="E169" s="139" t="s">
        <v>1334</v>
      </c>
      <c r="F169" s="140" t="s">
        <v>2152</v>
      </c>
      <c r="G169" s="141" t="s">
        <v>210</v>
      </c>
      <c r="H169" s="142">
        <v>133</v>
      </c>
      <c r="I169" s="143">
        <v>91.63</v>
      </c>
      <c r="J169" s="144">
        <f>ROUND(I169*H169,2)</f>
        <v>12186.79</v>
      </c>
      <c r="K169" s="140" t="s">
        <v>190</v>
      </c>
      <c r="L169" s="33"/>
      <c r="M169" s="145" t="s">
        <v>1</v>
      </c>
      <c r="N169" s="146" t="s">
        <v>47</v>
      </c>
      <c r="O169" s="147">
        <v>0.113</v>
      </c>
      <c r="P169" s="147">
        <f>O169*H169</f>
        <v>15.029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AR169" s="149" t="s">
        <v>1032</v>
      </c>
      <c r="AT169" s="149" t="s">
        <v>186</v>
      </c>
      <c r="AU169" s="149" t="s">
        <v>20</v>
      </c>
      <c r="AY169" s="18" t="s">
        <v>184</v>
      </c>
      <c r="BE169" s="150">
        <f>IF(N169="základní",J169,0)</f>
        <v>12186.79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8" t="s">
        <v>88</v>
      </c>
      <c r="BK169" s="150">
        <f>ROUND(I169*H169,2)</f>
        <v>12186.79</v>
      </c>
      <c r="BL169" s="18" t="s">
        <v>1032</v>
      </c>
      <c r="BM169" s="149" t="s">
        <v>2153</v>
      </c>
    </row>
    <row r="170" spans="2:65" s="1" customFormat="1" x14ac:dyDescent="0.3">
      <c r="B170" s="33"/>
      <c r="D170" s="151" t="s">
        <v>193</v>
      </c>
      <c r="F170" s="152" t="s">
        <v>1337</v>
      </c>
      <c r="I170" s="153"/>
      <c r="L170" s="33"/>
      <c r="M170" s="154"/>
      <c r="T170" s="57"/>
      <c r="AT170" s="18" t="s">
        <v>193</v>
      </c>
      <c r="AU170" s="18" t="s">
        <v>20</v>
      </c>
    </row>
    <row r="171" spans="2:65" s="1" customFormat="1" ht="16.5" customHeight="1" x14ac:dyDescent="0.3">
      <c r="B171" s="33"/>
      <c r="C171" s="172" t="s">
        <v>650</v>
      </c>
      <c r="D171" s="172" t="s">
        <v>271</v>
      </c>
      <c r="E171" s="173" t="s">
        <v>1338</v>
      </c>
      <c r="F171" s="174" t="s">
        <v>2154</v>
      </c>
      <c r="G171" s="175" t="s">
        <v>248</v>
      </c>
      <c r="H171" s="176">
        <v>20.757999999999999</v>
      </c>
      <c r="I171" s="177">
        <v>398.07</v>
      </c>
      <c r="J171" s="178">
        <f>ROUND(I171*H171,2)</f>
        <v>8263.14</v>
      </c>
      <c r="K171" s="174" t="s">
        <v>190</v>
      </c>
      <c r="L171" s="179"/>
      <c r="M171" s="180" t="s">
        <v>1</v>
      </c>
      <c r="N171" s="181" t="s">
        <v>47</v>
      </c>
      <c r="O171" s="147">
        <v>0</v>
      </c>
      <c r="P171" s="147">
        <f>O171*H171</f>
        <v>0</v>
      </c>
      <c r="Q171" s="147">
        <v>1</v>
      </c>
      <c r="R171" s="147">
        <f>Q171*H171</f>
        <v>20.757999999999999</v>
      </c>
      <c r="S171" s="147">
        <v>0</v>
      </c>
      <c r="T171" s="148">
        <f>S171*H171</f>
        <v>0</v>
      </c>
      <c r="AR171" s="149" t="s">
        <v>1299</v>
      </c>
      <c r="AT171" s="149" t="s">
        <v>271</v>
      </c>
      <c r="AU171" s="149" t="s">
        <v>20</v>
      </c>
      <c r="AY171" s="18" t="s">
        <v>184</v>
      </c>
      <c r="BE171" s="150">
        <f>IF(N171="základní",J171,0)</f>
        <v>8263.14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8" t="s">
        <v>88</v>
      </c>
      <c r="BK171" s="150">
        <f>ROUND(I171*H171,2)</f>
        <v>8263.14</v>
      </c>
      <c r="BL171" s="18" t="s">
        <v>1032</v>
      </c>
      <c r="BM171" s="149" t="s">
        <v>2155</v>
      </c>
    </row>
    <row r="172" spans="2:65" s="12" customFormat="1" ht="11.25" x14ac:dyDescent="0.3">
      <c r="B172" s="155"/>
      <c r="D172" s="156" t="s">
        <v>195</v>
      </c>
      <c r="E172" s="157" t="s">
        <v>1</v>
      </c>
      <c r="F172" s="158" t="s">
        <v>2156</v>
      </c>
      <c r="H172" s="159">
        <v>10.379</v>
      </c>
      <c r="I172" s="160"/>
      <c r="L172" s="155"/>
      <c r="M172" s="161"/>
      <c r="T172" s="162"/>
      <c r="AT172" s="157" t="s">
        <v>195</v>
      </c>
      <c r="AU172" s="157" t="s">
        <v>20</v>
      </c>
      <c r="AV172" s="12" t="s">
        <v>20</v>
      </c>
      <c r="AW172" s="12" t="s">
        <v>37</v>
      </c>
      <c r="AX172" s="12" t="s">
        <v>81</v>
      </c>
      <c r="AY172" s="157" t="s">
        <v>184</v>
      </c>
    </row>
    <row r="173" spans="2:65" s="12" customFormat="1" ht="11.25" x14ac:dyDescent="0.3">
      <c r="B173" s="155"/>
      <c r="D173" s="156" t="s">
        <v>195</v>
      </c>
      <c r="E173" s="157" t="s">
        <v>1</v>
      </c>
      <c r="F173" s="158" t="s">
        <v>2157</v>
      </c>
      <c r="H173" s="159">
        <v>20.757999999999999</v>
      </c>
      <c r="I173" s="160"/>
      <c r="L173" s="155"/>
      <c r="M173" s="161"/>
      <c r="T173" s="162"/>
      <c r="AT173" s="157" t="s">
        <v>195</v>
      </c>
      <c r="AU173" s="157" t="s">
        <v>20</v>
      </c>
      <c r="AV173" s="12" t="s">
        <v>20</v>
      </c>
      <c r="AW173" s="12" t="s">
        <v>37</v>
      </c>
      <c r="AX173" s="12" t="s">
        <v>88</v>
      </c>
      <c r="AY173" s="157" t="s">
        <v>184</v>
      </c>
    </row>
    <row r="174" spans="2:65" s="1" customFormat="1" ht="16.5" customHeight="1" x14ac:dyDescent="0.3">
      <c r="B174" s="33"/>
      <c r="C174" s="138" t="s">
        <v>916</v>
      </c>
      <c r="D174" s="138" t="s">
        <v>186</v>
      </c>
      <c r="E174" s="139" t="s">
        <v>1343</v>
      </c>
      <c r="F174" s="140" t="s">
        <v>2158</v>
      </c>
      <c r="G174" s="141" t="s">
        <v>217</v>
      </c>
      <c r="H174" s="142">
        <v>5</v>
      </c>
      <c r="I174" s="143">
        <v>7688.92</v>
      </c>
      <c r="J174" s="144">
        <f>ROUND(I174*H174,2)</f>
        <v>38444.6</v>
      </c>
      <c r="K174" s="140" t="s">
        <v>190</v>
      </c>
      <c r="L174" s="33"/>
      <c r="M174" s="145" t="s">
        <v>1</v>
      </c>
      <c r="N174" s="146" t="s">
        <v>47</v>
      </c>
      <c r="O174" s="147">
        <v>0.47699999999999998</v>
      </c>
      <c r="P174" s="147">
        <f>O174*H174</f>
        <v>2.3849999999999998</v>
      </c>
      <c r="Q174" s="147">
        <v>2.3010199999999998</v>
      </c>
      <c r="R174" s="147">
        <f>Q174*H174</f>
        <v>11.505099999999999</v>
      </c>
      <c r="S174" s="147">
        <v>0</v>
      </c>
      <c r="T174" s="148">
        <f>S174*H174</f>
        <v>0</v>
      </c>
      <c r="AR174" s="149" t="s">
        <v>1032</v>
      </c>
      <c r="AT174" s="149" t="s">
        <v>186</v>
      </c>
      <c r="AU174" s="149" t="s">
        <v>20</v>
      </c>
      <c r="AY174" s="18" t="s">
        <v>184</v>
      </c>
      <c r="BE174" s="150">
        <f>IF(N174="základní",J174,0)</f>
        <v>38444.6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8" t="s">
        <v>88</v>
      </c>
      <c r="BK174" s="150">
        <f>ROUND(I174*H174,2)</f>
        <v>38444.6</v>
      </c>
      <c r="BL174" s="18" t="s">
        <v>1032</v>
      </c>
      <c r="BM174" s="149" t="s">
        <v>2159</v>
      </c>
    </row>
    <row r="175" spans="2:65" s="1" customFormat="1" x14ac:dyDescent="0.3">
      <c r="B175" s="33"/>
      <c r="D175" s="151" t="s">
        <v>193</v>
      </c>
      <c r="F175" s="152" t="s">
        <v>1346</v>
      </c>
      <c r="I175" s="153"/>
      <c r="L175" s="33"/>
      <c r="M175" s="154"/>
      <c r="T175" s="57"/>
      <c r="AT175" s="18" t="s">
        <v>193</v>
      </c>
      <c r="AU175" s="18" t="s">
        <v>20</v>
      </c>
    </row>
    <row r="176" spans="2:65" s="1" customFormat="1" ht="24.2" customHeight="1" x14ac:dyDescent="0.3">
      <c r="B176" s="33"/>
      <c r="C176" s="138" t="s">
        <v>921</v>
      </c>
      <c r="D176" s="138" t="s">
        <v>186</v>
      </c>
      <c r="E176" s="139" t="s">
        <v>1347</v>
      </c>
      <c r="F176" s="140" t="s">
        <v>2160</v>
      </c>
      <c r="G176" s="141" t="s">
        <v>210</v>
      </c>
      <c r="H176" s="142">
        <v>133</v>
      </c>
      <c r="I176" s="143">
        <v>183.26</v>
      </c>
      <c r="J176" s="144">
        <f>ROUND(I176*H176,2)</f>
        <v>24373.58</v>
      </c>
      <c r="K176" s="140" t="s">
        <v>190</v>
      </c>
      <c r="L176" s="33"/>
      <c r="M176" s="145" t="s">
        <v>1</v>
      </c>
      <c r="N176" s="146" t="s">
        <v>47</v>
      </c>
      <c r="O176" s="147">
        <v>6.5000000000000002E-2</v>
      </c>
      <c r="P176" s="147">
        <f>O176*H176</f>
        <v>8.6449999999999996</v>
      </c>
      <c r="Q176" s="147">
        <v>0.2</v>
      </c>
      <c r="R176" s="147">
        <f>Q176*H176</f>
        <v>26.6</v>
      </c>
      <c r="S176" s="147">
        <v>0</v>
      </c>
      <c r="T176" s="148">
        <f>S176*H176</f>
        <v>0</v>
      </c>
      <c r="AR176" s="149" t="s">
        <v>1032</v>
      </c>
      <c r="AT176" s="149" t="s">
        <v>186</v>
      </c>
      <c r="AU176" s="149" t="s">
        <v>20</v>
      </c>
      <c r="AY176" s="18" t="s">
        <v>184</v>
      </c>
      <c r="BE176" s="150">
        <f>IF(N176="základní",J176,0)</f>
        <v>24373.58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8" t="s">
        <v>88</v>
      </c>
      <c r="BK176" s="150">
        <f>ROUND(I176*H176,2)</f>
        <v>24373.58</v>
      </c>
      <c r="BL176" s="18" t="s">
        <v>1032</v>
      </c>
      <c r="BM176" s="149" t="s">
        <v>2161</v>
      </c>
    </row>
    <row r="177" spans="2:65" s="1" customFormat="1" x14ac:dyDescent="0.3">
      <c r="B177" s="33"/>
      <c r="D177" s="151" t="s">
        <v>193</v>
      </c>
      <c r="F177" s="152" t="s">
        <v>1350</v>
      </c>
      <c r="I177" s="153"/>
      <c r="L177" s="33"/>
      <c r="M177" s="154"/>
      <c r="T177" s="57"/>
      <c r="AT177" s="18" t="s">
        <v>193</v>
      </c>
      <c r="AU177" s="18" t="s">
        <v>20</v>
      </c>
    </row>
    <row r="178" spans="2:65" s="1" customFormat="1" ht="21.75" customHeight="1" x14ac:dyDescent="0.3">
      <c r="B178" s="33"/>
      <c r="C178" s="138" t="s">
        <v>926</v>
      </c>
      <c r="D178" s="138" t="s">
        <v>186</v>
      </c>
      <c r="E178" s="139" t="s">
        <v>1351</v>
      </c>
      <c r="F178" s="140" t="s">
        <v>2162</v>
      </c>
      <c r="G178" s="141" t="s">
        <v>210</v>
      </c>
      <c r="H178" s="142">
        <v>133</v>
      </c>
      <c r="I178" s="143">
        <v>15.27</v>
      </c>
      <c r="J178" s="144">
        <f>ROUND(I178*H178,2)</f>
        <v>2030.91</v>
      </c>
      <c r="K178" s="140" t="s">
        <v>190</v>
      </c>
      <c r="L178" s="33"/>
      <c r="M178" s="145" t="s">
        <v>1</v>
      </c>
      <c r="N178" s="146" t="s">
        <v>47</v>
      </c>
      <c r="O178" s="147">
        <v>2.5000000000000001E-2</v>
      </c>
      <c r="P178" s="147">
        <f>O178*H178</f>
        <v>3.3250000000000002</v>
      </c>
      <c r="Q178" s="147">
        <v>9.0000000000000006E-5</v>
      </c>
      <c r="R178" s="147">
        <f>Q178*H178</f>
        <v>1.1970000000000001E-2</v>
      </c>
      <c r="S178" s="147">
        <v>0</v>
      </c>
      <c r="T178" s="148">
        <f>S178*H178</f>
        <v>0</v>
      </c>
      <c r="AR178" s="149" t="s">
        <v>1032</v>
      </c>
      <c r="AT178" s="149" t="s">
        <v>186</v>
      </c>
      <c r="AU178" s="149" t="s">
        <v>20</v>
      </c>
      <c r="AY178" s="18" t="s">
        <v>184</v>
      </c>
      <c r="BE178" s="150">
        <f>IF(N178="základní",J178,0)</f>
        <v>2030.91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8" t="s">
        <v>88</v>
      </c>
      <c r="BK178" s="150">
        <f>ROUND(I178*H178,2)</f>
        <v>2030.91</v>
      </c>
      <c r="BL178" s="18" t="s">
        <v>1032</v>
      </c>
      <c r="BM178" s="149" t="s">
        <v>2163</v>
      </c>
    </row>
    <row r="179" spans="2:65" s="1" customFormat="1" x14ac:dyDescent="0.3">
      <c r="B179" s="33"/>
      <c r="D179" s="151" t="s">
        <v>193</v>
      </c>
      <c r="F179" s="152" t="s">
        <v>1354</v>
      </c>
      <c r="I179" s="153"/>
      <c r="L179" s="33"/>
      <c r="M179" s="154"/>
      <c r="T179" s="57"/>
      <c r="AT179" s="18" t="s">
        <v>193</v>
      </c>
      <c r="AU179" s="18" t="s">
        <v>20</v>
      </c>
    </row>
    <row r="180" spans="2:65" s="1" customFormat="1" ht="16.5" customHeight="1" x14ac:dyDescent="0.3">
      <c r="B180" s="33"/>
      <c r="C180" s="138" t="s">
        <v>27</v>
      </c>
      <c r="D180" s="138" t="s">
        <v>186</v>
      </c>
      <c r="E180" s="139" t="s">
        <v>1355</v>
      </c>
      <c r="F180" s="140" t="s">
        <v>2164</v>
      </c>
      <c r="G180" s="141" t="s">
        <v>248</v>
      </c>
      <c r="H180" s="142">
        <v>58.875</v>
      </c>
      <c r="I180" s="143">
        <v>305.44</v>
      </c>
      <c r="J180" s="144">
        <f>ROUND(I180*H180,2)</f>
        <v>17982.78</v>
      </c>
      <c r="K180" s="140" t="s">
        <v>190</v>
      </c>
      <c r="L180" s="33"/>
      <c r="M180" s="145" t="s">
        <v>1</v>
      </c>
      <c r="N180" s="146" t="s">
        <v>47</v>
      </c>
      <c r="O180" s="147">
        <v>0.42399999999999999</v>
      </c>
      <c r="P180" s="147">
        <f>O180*H180</f>
        <v>24.963000000000001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49" t="s">
        <v>1032</v>
      </c>
      <c r="AT180" s="149" t="s">
        <v>186</v>
      </c>
      <c r="AU180" s="149" t="s">
        <v>20</v>
      </c>
      <c r="AY180" s="18" t="s">
        <v>184</v>
      </c>
      <c r="BE180" s="150">
        <f>IF(N180="základní",J180,0)</f>
        <v>17982.78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8" t="s">
        <v>88</v>
      </c>
      <c r="BK180" s="150">
        <f>ROUND(I180*H180,2)</f>
        <v>17982.78</v>
      </c>
      <c r="BL180" s="18" t="s">
        <v>1032</v>
      </c>
      <c r="BM180" s="149" t="s">
        <v>2165</v>
      </c>
    </row>
    <row r="181" spans="2:65" s="1" customFormat="1" x14ac:dyDescent="0.3">
      <c r="B181" s="33"/>
      <c r="D181" s="151" t="s">
        <v>193</v>
      </c>
      <c r="F181" s="152" t="s">
        <v>1358</v>
      </c>
      <c r="I181" s="153"/>
      <c r="L181" s="33"/>
      <c r="M181" s="189"/>
      <c r="N181" s="190"/>
      <c r="O181" s="190"/>
      <c r="P181" s="190"/>
      <c r="Q181" s="190"/>
      <c r="R181" s="190"/>
      <c r="S181" s="190"/>
      <c r="T181" s="191"/>
      <c r="AT181" s="18" t="s">
        <v>193</v>
      </c>
      <c r="AU181" s="18" t="s">
        <v>20</v>
      </c>
    </row>
    <row r="182" spans="2:65" s="1" customFormat="1" ht="6.95" customHeight="1" x14ac:dyDescent="0.3">
      <c r="B182" s="45"/>
      <c r="C182" s="46"/>
      <c r="D182" s="46"/>
      <c r="E182" s="46"/>
      <c r="F182" s="46"/>
      <c r="G182" s="46"/>
      <c r="H182" s="46"/>
      <c r="I182" s="188"/>
      <c r="J182" s="46"/>
      <c r="K182" s="46"/>
      <c r="L182" s="33"/>
    </row>
  </sheetData>
  <sheetProtection sheet="1" objects="1" scenarios="1"/>
  <autoFilter ref="C123:K213" xr:uid="{40CCA5C7-FD52-4A5C-BD80-878A335C0911}"/>
  <mergeCells count="8">
    <mergeCell ref="E48:H48"/>
    <mergeCell ref="E50:H50"/>
    <mergeCell ref="E77:H77"/>
    <mergeCell ref="E79:H79"/>
    <mergeCell ref="L2:V2"/>
    <mergeCell ref="E7:H7"/>
    <mergeCell ref="E9:H9"/>
    <mergeCell ref="E27:H27"/>
  </mergeCells>
  <hyperlinks>
    <hyperlink ref="F91" r:id="rId1" xr:uid="{2D6022A1-9BB6-4522-B5FC-6C0F8C86F523}"/>
    <hyperlink ref="F95" r:id="rId2" xr:uid="{4ADC68EF-8F6B-46F8-A6C3-3F663EBAE417}"/>
    <hyperlink ref="F99" r:id="rId3" xr:uid="{989B31D3-5D2E-4BAC-A292-C79551D62B56}"/>
    <hyperlink ref="F103" r:id="rId4" xr:uid="{FE61EB78-96A5-4A0E-B58D-8DC6D9CDBAE9}"/>
    <hyperlink ref="F107" r:id="rId5" xr:uid="{1E00E600-BCCA-4300-AC44-F8BD701175EE}"/>
    <hyperlink ref="F111" r:id="rId6" xr:uid="{2AB6D64A-FF18-424C-A57A-D9DDDEB58A5A}"/>
    <hyperlink ref="F115" r:id="rId7" xr:uid="{06650A62-04EC-4A46-B95A-8DBEBF9EC06E}"/>
    <hyperlink ref="F117" r:id="rId8" xr:uid="{FD1361F6-84B6-4333-8D8F-E1D0CB5E585D}"/>
    <hyperlink ref="F119" r:id="rId9" xr:uid="{D277558B-CAFA-4A3F-A54E-D1971353E25D}"/>
    <hyperlink ref="F123" r:id="rId10" xr:uid="{19A62B7F-DBA2-46D3-9102-2005DB562446}"/>
    <hyperlink ref="F125" r:id="rId11" xr:uid="{533667C9-C884-44F5-849D-5D2D794B8A51}"/>
    <hyperlink ref="F127" r:id="rId12" xr:uid="{D5648618-4AE5-4212-A3AA-B36D10655E74}"/>
    <hyperlink ref="F129" r:id="rId13" xr:uid="{E385B098-C161-4D46-9F46-EAEE29F022FC}"/>
    <hyperlink ref="F133" r:id="rId14" xr:uid="{0444D35E-E945-4FC9-B08B-DB2B8394AA21}"/>
    <hyperlink ref="F136" r:id="rId15" xr:uid="{DC8F96CA-8E6E-4A08-A7B2-BB97362F071A}"/>
    <hyperlink ref="F139" r:id="rId16" xr:uid="{5CEE0712-383B-479B-B4B9-6A9A25CD8F0D}"/>
    <hyperlink ref="F142" r:id="rId17" xr:uid="{D5AC6597-34EE-43D5-ADB5-B7E872D3429D}"/>
    <hyperlink ref="F145" r:id="rId18" xr:uid="{0C0B2DEB-C3E5-4728-9D62-41F01AD2E643}"/>
    <hyperlink ref="F148" r:id="rId19" xr:uid="{45ABEB30-8666-47D7-990A-2B5555696F23}"/>
    <hyperlink ref="F151" r:id="rId20" xr:uid="{F3437431-6978-4A35-B706-2632B65F12B0}"/>
    <hyperlink ref="F155" r:id="rId21" xr:uid="{78612F36-DD9F-4CFE-9C3D-7A452A5FDD60}"/>
    <hyperlink ref="F158" r:id="rId22" xr:uid="{FD092782-9F44-4A89-984F-DD16CD25FBCB}"/>
    <hyperlink ref="F160" r:id="rId23" xr:uid="{DCE7355F-C224-42F4-8F6A-F2DEC684942E}"/>
    <hyperlink ref="F163" r:id="rId24" xr:uid="{1EADB73C-A4D8-4E46-8792-C99AD1065BF3}"/>
    <hyperlink ref="F167" r:id="rId25" xr:uid="{3A27FDD9-5E2D-4E5C-931D-0BD4F9AFDCEA}"/>
    <hyperlink ref="F170" r:id="rId26" xr:uid="{3C866A95-72BD-4A09-9744-13CD14B47D9E}"/>
    <hyperlink ref="F175" r:id="rId27" xr:uid="{8C593DA2-345B-45D6-92DC-7E6D4A6B15FA}"/>
    <hyperlink ref="F177" r:id="rId28" xr:uid="{E3C542EE-F2C4-4947-9F29-F5C0C2259DC8}"/>
    <hyperlink ref="F179" r:id="rId29" xr:uid="{F0DA7328-F4A4-45E7-89EB-432B9FC24FFC}"/>
    <hyperlink ref="F181" r:id="rId30" xr:uid="{0F9D710D-F808-4775-81A7-8F2A030ACC75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3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52947-0C51-42EF-80B6-99493A9805E8}">
  <sheetPr>
    <tabColor indexed="40"/>
    <pageSetUpPr fitToPage="1"/>
  </sheetPr>
  <dimension ref="B2:BM132"/>
  <sheetViews>
    <sheetView showGridLines="0" zoomScaleNormal="100" workbookViewId="0">
      <selection activeCell="I104" sqref="I104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141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2166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ROUND(J86, 2)</f>
        <v>231090.7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ROUND((SUM(BE86:BE131)),  2)</f>
        <v>231090.7</v>
      </c>
      <c r="I33" s="99">
        <v>0.21</v>
      </c>
      <c r="J33" s="98">
        <f>ROUND(((SUM(BE86:BE131))*I33),  2)</f>
        <v>48529.05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ROUND((SUM(BF86:BF131)),  2)</f>
        <v>0</v>
      </c>
      <c r="I34" s="99">
        <v>0.15</v>
      </c>
      <c r="J34" s="98">
        <f>ROUND(((SUM(BF86:BF131))*I34),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ROUND((SUM(BG86:BG131)),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ROUND((SUM(BH86:BH131)),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ROUND((SUM(BI86:BI131)),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279619.75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404.II - Chráničky pro optickou síť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J86</f>
        <v>231090.69999999998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J87</f>
        <v>4604.16</v>
      </c>
      <c r="L60" s="111"/>
    </row>
    <row r="61" spans="2:47" s="9" customFormat="1" ht="19.899999999999999" customHeight="1" x14ac:dyDescent="0.3">
      <c r="B61" s="115"/>
      <c r="D61" s="116" t="s">
        <v>734</v>
      </c>
      <c r="E61" s="117"/>
      <c r="F61" s="117"/>
      <c r="G61" s="117"/>
      <c r="H61" s="117"/>
      <c r="I61" s="117"/>
      <c r="J61" s="118">
        <f>J88</f>
        <v>4604.16</v>
      </c>
      <c r="L61" s="115"/>
    </row>
    <row r="62" spans="2:47" s="8" customFormat="1" ht="24.95" customHeight="1" x14ac:dyDescent="0.3">
      <c r="B62" s="111"/>
      <c r="D62" s="112" t="s">
        <v>166</v>
      </c>
      <c r="E62" s="113"/>
      <c r="F62" s="113"/>
      <c r="G62" s="113"/>
      <c r="H62" s="113"/>
      <c r="I62" s="113"/>
      <c r="J62" s="114">
        <f>J92</f>
        <v>89245.010000000009</v>
      </c>
      <c r="L62" s="111"/>
    </row>
    <row r="63" spans="2:47" s="9" customFormat="1" ht="19.899999999999999" customHeight="1" x14ac:dyDescent="0.3">
      <c r="B63" s="115"/>
      <c r="D63" s="116" t="s">
        <v>1360</v>
      </c>
      <c r="E63" s="117"/>
      <c r="F63" s="117"/>
      <c r="G63" s="117"/>
      <c r="H63" s="117"/>
      <c r="I63" s="117"/>
      <c r="J63" s="118">
        <f>J93</f>
        <v>89245.010000000009</v>
      </c>
      <c r="L63" s="115"/>
    </row>
    <row r="64" spans="2:47" s="8" customFormat="1" ht="24.95" customHeight="1" x14ac:dyDescent="0.3">
      <c r="B64" s="111"/>
      <c r="D64" s="112" t="s">
        <v>1174</v>
      </c>
      <c r="E64" s="113"/>
      <c r="F64" s="113"/>
      <c r="G64" s="113"/>
      <c r="H64" s="113"/>
      <c r="I64" s="113"/>
      <c r="J64" s="114">
        <f>J102</f>
        <v>137241.52999999997</v>
      </c>
      <c r="L64" s="111"/>
    </row>
    <row r="65" spans="2:12" s="9" customFormat="1" ht="19.899999999999999" customHeight="1" x14ac:dyDescent="0.3">
      <c r="B65" s="115"/>
      <c r="D65" s="116" t="s">
        <v>1176</v>
      </c>
      <c r="E65" s="117"/>
      <c r="F65" s="117"/>
      <c r="G65" s="117"/>
      <c r="H65" s="117"/>
      <c r="I65" s="117"/>
      <c r="J65" s="118">
        <f>J103</f>
        <v>40010.339999999997</v>
      </c>
      <c r="L65" s="115"/>
    </row>
    <row r="66" spans="2:12" s="9" customFormat="1" ht="19.899999999999999" customHeight="1" x14ac:dyDescent="0.3">
      <c r="B66" s="115"/>
      <c r="D66" s="116" t="s">
        <v>1177</v>
      </c>
      <c r="E66" s="117"/>
      <c r="F66" s="117"/>
      <c r="G66" s="117"/>
      <c r="H66" s="117"/>
      <c r="I66" s="117"/>
      <c r="J66" s="118">
        <f>J107</f>
        <v>97231.189999999988</v>
      </c>
      <c r="L66" s="115"/>
    </row>
    <row r="67" spans="2:12" s="1" customFormat="1" ht="21.75" customHeight="1" x14ac:dyDescent="0.3">
      <c r="B67" s="33"/>
      <c r="L67" s="33"/>
    </row>
    <row r="68" spans="2:12" s="1" customFormat="1" ht="6.95" customHeight="1" x14ac:dyDescent="0.3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33"/>
    </row>
    <row r="72" spans="2:12" s="1" customFormat="1" ht="6.95" customHeight="1" x14ac:dyDescent="0.3"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33"/>
    </row>
    <row r="73" spans="2:12" s="1" customFormat="1" ht="24.95" customHeight="1" x14ac:dyDescent="0.3">
      <c r="B73" s="33"/>
      <c r="C73" s="22" t="s">
        <v>168</v>
      </c>
      <c r="L73" s="33"/>
    </row>
    <row r="74" spans="2:12" s="1" customFormat="1" ht="6.95" customHeight="1" x14ac:dyDescent="0.3">
      <c r="B74" s="33"/>
      <c r="L74" s="33"/>
    </row>
    <row r="75" spans="2:12" s="1" customFormat="1" ht="12" customHeight="1" x14ac:dyDescent="0.3">
      <c r="B75" s="33"/>
      <c r="C75" s="28" t="s">
        <v>15</v>
      </c>
      <c r="L75" s="33"/>
    </row>
    <row r="76" spans="2:12" s="1" customFormat="1" ht="16.5" customHeight="1" x14ac:dyDescent="0.3">
      <c r="B76" s="33"/>
      <c r="E76" s="324" t="str">
        <f>E7</f>
        <v>Obnova ulice Tyršova, Dobrovice - II. etapa</v>
      </c>
      <c r="F76" s="325"/>
      <c r="G76" s="325"/>
      <c r="H76" s="325"/>
      <c r="L76" s="33"/>
    </row>
    <row r="77" spans="2:12" s="1" customFormat="1" ht="12" customHeight="1" x14ac:dyDescent="0.3">
      <c r="B77" s="33"/>
      <c r="C77" s="28" t="s">
        <v>152</v>
      </c>
      <c r="L77" s="33"/>
    </row>
    <row r="78" spans="2:12" s="1" customFormat="1" ht="16.5" customHeight="1" x14ac:dyDescent="0.3">
      <c r="B78" s="33"/>
      <c r="E78" s="308" t="str">
        <f>E9</f>
        <v>SO 404.II - Chráničky pro optickou síť II. etapa</v>
      </c>
      <c r="F78" s="326"/>
      <c r="G78" s="326"/>
      <c r="H78" s="326"/>
      <c r="L78" s="33"/>
    </row>
    <row r="79" spans="2:12" s="1" customFormat="1" ht="6.95" customHeight="1" x14ac:dyDescent="0.3">
      <c r="B79" s="33"/>
      <c r="L79" s="33"/>
    </row>
    <row r="80" spans="2:12" s="1" customFormat="1" ht="12" customHeight="1" x14ac:dyDescent="0.3">
      <c r="B80" s="33"/>
      <c r="C80" s="28" t="s">
        <v>21</v>
      </c>
      <c r="F80" s="26" t="str">
        <f>F12</f>
        <v>Dobrovice</v>
      </c>
      <c r="I80" s="28" t="s">
        <v>23</v>
      </c>
      <c r="J80" s="53">
        <f>IF(J12="","",J12)</f>
        <v>45678</v>
      </c>
      <c r="L80" s="33"/>
    </row>
    <row r="81" spans="2:65" s="1" customFormat="1" ht="6.95" customHeight="1" x14ac:dyDescent="0.3">
      <c r="B81" s="33"/>
      <c r="L81" s="33"/>
    </row>
    <row r="82" spans="2:65" s="1" customFormat="1" ht="25.7" customHeight="1" x14ac:dyDescent="0.3">
      <c r="B82" s="33"/>
      <c r="C82" s="28" t="s">
        <v>28</v>
      </c>
      <c r="F82" s="26" t="str">
        <f>E15</f>
        <v>Město Dobrovice, Palckého nám. 28, 294 41</v>
      </c>
      <c r="I82" s="28" t="s">
        <v>34</v>
      </c>
      <c r="J82" s="96" t="str">
        <f>E21</f>
        <v>Ing. arch. Martin Jirovský Ph.D., MBA</v>
      </c>
      <c r="L82" s="33"/>
    </row>
    <row r="83" spans="2:65" s="1" customFormat="1" ht="40.15" customHeight="1" x14ac:dyDescent="0.3">
      <c r="B83" s="33"/>
      <c r="C83" s="28" t="s">
        <v>33</v>
      </c>
      <c r="F83" s="26">
        <f>IF(E18="","",E18)</f>
        <v>0</v>
      </c>
      <c r="I83" s="28" t="s">
        <v>38</v>
      </c>
      <c r="J83" s="96" t="str">
        <f>E24</f>
        <v>ROAD M.A.A.T. s.r.o., Petra Stejskalová</v>
      </c>
      <c r="L83" s="33"/>
    </row>
    <row r="84" spans="2:65" s="1" customFormat="1" ht="10.35" customHeight="1" x14ac:dyDescent="0.3">
      <c r="B84" s="33"/>
      <c r="L84" s="33"/>
    </row>
    <row r="85" spans="2:65" s="10" customFormat="1" ht="29.25" customHeight="1" x14ac:dyDescent="0.3">
      <c r="B85" s="119"/>
      <c r="C85" s="120" t="s">
        <v>169</v>
      </c>
      <c r="D85" s="121" t="s">
        <v>66</v>
      </c>
      <c r="E85" s="121" t="s">
        <v>63</v>
      </c>
      <c r="F85" s="121" t="s">
        <v>170</v>
      </c>
      <c r="G85" s="121" t="s">
        <v>171</v>
      </c>
      <c r="H85" s="121" t="s">
        <v>172</v>
      </c>
      <c r="I85" s="121" t="s">
        <v>173</v>
      </c>
      <c r="J85" s="121" t="s">
        <v>157</v>
      </c>
      <c r="K85" s="122" t="s">
        <v>174</v>
      </c>
      <c r="L85" s="119"/>
      <c r="M85" s="60" t="s">
        <v>1</v>
      </c>
      <c r="N85" s="61" t="s">
        <v>46</v>
      </c>
      <c r="O85" s="61" t="s">
        <v>175</v>
      </c>
      <c r="P85" s="61" t="s">
        <v>176</v>
      </c>
      <c r="Q85" s="61" t="s">
        <v>177</v>
      </c>
      <c r="R85" s="61" t="s">
        <v>178</v>
      </c>
      <c r="S85" s="61" t="s">
        <v>179</v>
      </c>
      <c r="T85" s="62" t="s">
        <v>180</v>
      </c>
    </row>
    <row r="86" spans="2:65" s="1" customFormat="1" ht="22.9" customHeight="1" x14ac:dyDescent="0.25">
      <c r="B86" s="33"/>
      <c r="C86" s="65" t="s">
        <v>181</v>
      </c>
      <c r="J86" s="123">
        <f>BK86</f>
        <v>231090.69999999998</v>
      </c>
      <c r="L86" s="33"/>
      <c r="M86" s="63"/>
      <c r="N86" s="54"/>
      <c r="O86" s="54"/>
      <c r="P86" s="124">
        <f>P87+P92+P102</f>
        <v>177.52513400000004</v>
      </c>
      <c r="Q86" s="54"/>
      <c r="R86" s="124">
        <f>R87+R92+R102</f>
        <v>42.927880000000009</v>
      </c>
      <c r="S86" s="54"/>
      <c r="T86" s="125">
        <f>T87+T92+T102</f>
        <v>0</v>
      </c>
      <c r="AT86" s="18" t="s">
        <v>80</v>
      </c>
      <c r="AU86" s="18" t="s">
        <v>159</v>
      </c>
      <c r="BK86" s="126">
        <f>BK87+BK92+BK102</f>
        <v>231090.69999999998</v>
      </c>
    </row>
    <row r="87" spans="2:65" s="11" customFormat="1" ht="25.9" customHeight="1" x14ac:dyDescent="0.2">
      <c r="B87" s="127"/>
      <c r="D87" s="128" t="s">
        <v>80</v>
      </c>
      <c r="E87" s="129" t="s">
        <v>182</v>
      </c>
      <c r="F87" s="129" t="s">
        <v>183</v>
      </c>
      <c r="J87" s="130">
        <f>BK87</f>
        <v>4604.16</v>
      </c>
      <c r="L87" s="127"/>
      <c r="M87" s="131"/>
      <c r="P87" s="132">
        <f>P88</f>
        <v>7.1280000000000001</v>
      </c>
      <c r="R87" s="132">
        <f>R88</f>
        <v>2.5080000000000002E-2</v>
      </c>
      <c r="T87" s="133">
        <f>T88</f>
        <v>0</v>
      </c>
      <c r="AR87" s="128" t="s">
        <v>88</v>
      </c>
      <c r="AT87" s="134" t="s">
        <v>80</v>
      </c>
      <c r="AU87" s="134" t="s">
        <v>81</v>
      </c>
      <c r="AY87" s="128" t="s">
        <v>184</v>
      </c>
      <c r="BK87" s="135">
        <f>BK88</f>
        <v>4604.16</v>
      </c>
    </row>
    <row r="88" spans="2:65" s="11" customFormat="1" ht="22.9" customHeight="1" x14ac:dyDescent="0.2">
      <c r="B88" s="127"/>
      <c r="D88" s="128" t="s">
        <v>80</v>
      </c>
      <c r="E88" s="136" t="s">
        <v>239</v>
      </c>
      <c r="F88" s="136" t="s">
        <v>851</v>
      </c>
      <c r="J88" s="137">
        <f>BK88</f>
        <v>4604.16</v>
      </c>
      <c r="L88" s="127"/>
      <c r="M88" s="131"/>
      <c r="P88" s="132">
        <f>SUM(P89:P91)</f>
        <v>7.1280000000000001</v>
      </c>
      <c r="R88" s="132">
        <f>SUM(R89:R91)</f>
        <v>2.5080000000000002E-2</v>
      </c>
      <c r="T88" s="133">
        <f>SUM(T89:T91)</f>
        <v>0</v>
      </c>
      <c r="AR88" s="128" t="s">
        <v>88</v>
      </c>
      <c r="AT88" s="134" t="s">
        <v>80</v>
      </c>
      <c r="AU88" s="134" t="s">
        <v>88</v>
      </c>
      <c r="AY88" s="128" t="s">
        <v>184</v>
      </c>
      <c r="BK88" s="135">
        <f>SUM(BK89:BK91)</f>
        <v>4604.16</v>
      </c>
    </row>
    <row r="89" spans="2:65" s="1" customFormat="1" ht="16.5" customHeight="1" x14ac:dyDescent="0.3">
      <c r="B89" s="33"/>
      <c r="C89" s="138" t="s">
        <v>88</v>
      </c>
      <c r="D89" s="138" t="s">
        <v>186</v>
      </c>
      <c r="E89" s="139" t="s">
        <v>1996</v>
      </c>
      <c r="F89" s="140" t="s">
        <v>1997</v>
      </c>
      <c r="G89" s="141" t="s">
        <v>210</v>
      </c>
      <c r="H89" s="142">
        <v>132</v>
      </c>
      <c r="I89" s="143">
        <v>34.880000000000003</v>
      </c>
      <c r="J89" s="144">
        <f>ROUND(I89*H89,2)</f>
        <v>4604.16</v>
      </c>
      <c r="K89" s="140" t="s">
        <v>190</v>
      </c>
      <c r="L89" s="33"/>
      <c r="M89" s="145" t="s">
        <v>1</v>
      </c>
      <c r="N89" s="146" t="s">
        <v>47</v>
      </c>
      <c r="O89" s="147">
        <v>5.3999999999999999E-2</v>
      </c>
      <c r="P89" s="147">
        <f>O89*H89</f>
        <v>7.1280000000000001</v>
      </c>
      <c r="Q89" s="147">
        <v>1.9000000000000001E-4</v>
      </c>
      <c r="R89" s="147">
        <f>Q89*H89</f>
        <v>2.5080000000000002E-2</v>
      </c>
      <c r="S89" s="147">
        <v>0</v>
      </c>
      <c r="T89" s="148">
        <f>S89*H89</f>
        <v>0</v>
      </c>
      <c r="AR89" s="149" t="s">
        <v>191</v>
      </c>
      <c r="AT89" s="149" t="s">
        <v>186</v>
      </c>
      <c r="AU89" s="149" t="s">
        <v>20</v>
      </c>
      <c r="AY89" s="18" t="s">
        <v>184</v>
      </c>
      <c r="BE89" s="150">
        <f>IF(N89="základní",J89,0)</f>
        <v>4604.16</v>
      </c>
      <c r="BF89" s="150">
        <f>IF(N89="snížená",J89,0)</f>
        <v>0</v>
      </c>
      <c r="BG89" s="150">
        <f>IF(N89="zákl. přenesená",J89,0)</f>
        <v>0</v>
      </c>
      <c r="BH89" s="150">
        <f>IF(N89="sníž. přenesená",J89,0)</f>
        <v>0</v>
      </c>
      <c r="BI89" s="150">
        <f>IF(N89="nulová",J89,0)</f>
        <v>0</v>
      </c>
      <c r="BJ89" s="18" t="s">
        <v>88</v>
      </c>
      <c r="BK89" s="150">
        <f>ROUND(I89*H89,2)</f>
        <v>4604.16</v>
      </c>
      <c r="BL89" s="18" t="s">
        <v>191</v>
      </c>
      <c r="BM89" s="149" t="s">
        <v>2167</v>
      </c>
    </row>
    <row r="90" spans="2:65" s="1" customFormat="1" x14ac:dyDescent="0.3">
      <c r="B90" s="33"/>
      <c r="D90" s="151" t="s">
        <v>193</v>
      </c>
      <c r="F90" s="152" t="s">
        <v>1999</v>
      </c>
      <c r="I90" s="153"/>
      <c r="L90" s="33"/>
      <c r="M90" s="154"/>
      <c r="T90" s="57"/>
      <c r="AT90" s="18" t="s">
        <v>193</v>
      </c>
      <c r="AU90" s="18" t="s">
        <v>20</v>
      </c>
    </row>
    <row r="91" spans="2:65" s="12" customFormat="1" ht="11.25" x14ac:dyDescent="0.3">
      <c r="B91" s="155"/>
      <c r="D91" s="156" t="s">
        <v>195</v>
      </c>
      <c r="E91" s="157" t="s">
        <v>1</v>
      </c>
      <c r="F91" s="158" t="s">
        <v>2168</v>
      </c>
      <c r="H91" s="159">
        <v>132</v>
      </c>
      <c r="I91" s="160"/>
      <c r="L91" s="155"/>
      <c r="M91" s="161"/>
      <c r="T91" s="162"/>
      <c r="AT91" s="157" t="s">
        <v>195</v>
      </c>
      <c r="AU91" s="157" t="s">
        <v>20</v>
      </c>
      <c r="AV91" s="12" t="s">
        <v>20</v>
      </c>
      <c r="AW91" s="12" t="s">
        <v>37</v>
      </c>
      <c r="AX91" s="12" t="s">
        <v>88</v>
      </c>
      <c r="AY91" s="157" t="s">
        <v>184</v>
      </c>
    </row>
    <row r="92" spans="2:65" s="11" customFormat="1" ht="25.9" customHeight="1" x14ac:dyDescent="0.2">
      <c r="B92" s="127"/>
      <c r="D92" s="128" t="s">
        <v>80</v>
      </c>
      <c r="E92" s="129" t="s">
        <v>381</v>
      </c>
      <c r="F92" s="129" t="s">
        <v>382</v>
      </c>
      <c r="I92" s="171"/>
      <c r="J92" s="130">
        <f>BK92</f>
        <v>89245.010000000009</v>
      </c>
      <c r="L92" s="127"/>
      <c r="M92" s="131"/>
      <c r="P92" s="132">
        <f>P93</f>
        <v>67.006550000000004</v>
      </c>
      <c r="R92" s="132">
        <f>R93</f>
        <v>0.14699999999999999</v>
      </c>
      <c r="T92" s="133">
        <f>T93</f>
        <v>0</v>
      </c>
      <c r="AR92" s="128" t="s">
        <v>20</v>
      </c>
      <c r="AT92" s="134" t="s">
        <v>80</v>
      </c>
      <c r="AU92" s="134" t="s">
        <v>81</v>
      </c>
      <c r="AY92" s="128" t="s">
        <v>184</v>
      </c>
      <c r="BK92" s="135">
        <f>BK93</f>
        <v>89245.010000000009</v>
      </c>
    </row>
    <row r="93" spans="2:65" s="11" customFormat="1" ht="22.9" customHeight="1" x14ac:dyDescent="0.2">
      <c r="B93" s="127"/>
      <c r="D93" s="128" t="s">
        <v>80</v>
      </c>
      <c r="E93" s="136" t="s">
        <v>1361</v>
      </c>
      <c r="F93" s="136" t="s">
        <v>1362</v>
      </c>
      <c r="I93" s="171"/>
      <c r="J93" s="137">
        <f>BK93</f>
        <v>89245.010000000009</v>
      </c>
      <c r="L93" s="127"/>
      <c r="M93" s="131"/>
      <c r="P93" s="132">
        <f>SUM(P94:P101)</f>
        <v>67.006550000000004</v>
      </c>
      <c r="R93" s="132">
        <f>SUM(R94:R101)</f>
        <v>0.14699999999999999</v>
      </c>
      <c r="T93" s="133">
        <f>SUM(T94:T101)</f>
        <v>0</v>
      </c>
      <c r="AR93" s="128" t="s">
        <v>20</v>
      </c>
      <c r="AT93" s="134" t="s">
        <v>80</v>
      </c>
      <c r="AU93" s="134" t="s">
        <v>88</v>
      </c>
      <c r="AY93" s="128" t="s">
        <v>184</v>
      </c>
      <c r="BK93" s="135">
        <f>SUM(BK94:BK101)</f>
        <v>89245.010000000009</v>
      </c>
    </row>
    <row r="94" spans="2:65" s="1" customFormat="1" ht="16.5" customHeight="1" x14ac:dyDescent="0.3">
      <c r="B94" s="33"/>
      <c r="C94" s="138" t="s">
        <v>20</v>
      </c>
      <c r="D94" s="138" t="s">
        <v>186</v>
      </c>
      <c r="E94" s="139" t="s">
        <v>1363</v>
      </c>
      <c r="F94" s="140" t="s">
        <v>2169</v>
      </c>
      <c r="G94" s="141" t="s">
        <v>210</v>
      </c>
      <c r="H94" s="142">
        <v>500</v>
      </c>
      <c r="I94" s="143">
        <v>152.72</v>
      </c>
      <c r="J94" s="144">
        <f>ROUND(I94*H94,2)</f>
        <v>76360</v>
      </c>
      <c r="K94" s="140" t="s">
        <v>190</v>
      </c>
      <c r="L94" s="33"/>
      <c r="M94" s="145" t="s">
        <v>1</v>
      </c>
      <c r="N94" s="146" t="s">
        <v>47</v>
      </c>
      <c r="O94" s="147">
        <v>0.13</v>
      </c>
      <c r="P94" s="147">
        <f>O94*H94</f>
        <v>65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49" t="s">
        <v>287</v>
      </c>
      <c r="AT94" s="149" t="s">
        <v>186</v>
      </c>
      <c r="AU94" s="149" t="s">
        <v>20</v>
      </c>
      <c r="AY94" s="18" t="s">
        <v>184</v>
      </c>
      <c r="BE94" s="150">
        <f>IF(N94="základní",J94,0)</f>
        <v>76360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8" t="s">
        <v>88</v>
      </c>
      <c r="BK94" s="150">
        <f>ROUND(I94*H94,2)</f>
        <v>76360</v>
      </c>
      <c r="BL94" s="18" t="s">
        <v>287</v>
      </c>
      <c r="BM94" s="149" t="s">
        <v>2170</v>
      </c>
    </row>
    <row r="95" spans="2:65" s="1" customFormat="1" x14ac:dyDescent="0.3">
      <c r="B95" s="33"/>
      <c r="D95" s="151" t="s">
        <v>193</v>
      </c>
      <c r="F95" s="152" t="s">
        <v>1366</v>
      </c>
      <c r="I95" s="153"/>
      <c r="L95" s="33"/>
      <c r="M95" s="154"/>
      <c r="T95" s="57"/>
      <c r="AT95" s="18" t="s">
        <v>193</v>
      </c>
      <c r="AU95" s="18" t="s">
        <v>20</v>
      </c>
    </row>
    <row r="96" spans="2:65" s="1" customFormat="1" ht="16.5" customHeight="1" x14ac:dyDescent="0.3">
      <c r="B96" s="33"/>
      <c r="C96" s="172" t="s">
        <v>202</v>
      </c>
      <c r="D96" s="172" t="s">
        <v>271</v>
      </c>
      <c r="E96" s="173" t="s">
        <v>1367</v>
      </c>
      <c r="F96" s="174" t="s">
        <v>1368</v>
      </c>
      <c r="G96" s="175" t="s">
        <v>210</v>
      </c>
      <c r="H96" s="176">
        <v>525</v>
      </c>
      <c r="I96" s="177">
        <v>23.26</v>
      </c>
      <c r="J96" s="178">
        <f>ROUND(I96*H96,2)</f>
        <v>12211.5</v>
      </c>
      <c r="K96" s="174" t="s">
        <v>190</v>
      </c>
      <c r="L96" s="179"/>
      <c r="M96" s="180" t="s">
        <v>1</v>
      </c>
      <c r="N96" s="181" t="s">
        <v>47</v>
      </c>
      <c r="O96" s="147">
        <v>0</v>
      </c>
      <c r="P96" s="147">
        <f>O96*H96</f>
        <v>0</v>
      </c>
      <c r="Q96" s="147">
        <v>2.7999999999999998E-4</v>
      </c>
      <c r="R96" s="147">
        <f>Q96*H96</f>
        <v>0.14699999999999999</v>
      </c>
      <c r="S96" s="147">
        <v>0</v>
      </c>
      <c r="T96" s="148">
        <f>S96*H96</f>
        <v>0</v>
      </c>
      <c r="AR96" s="149" t="s">
        <v>392</v>
      </c>
      <c r="AT96" s="149" t="s">
        <v>271</v>
      </c>
      <c r="AU96" s="149" t="s">
        <v>20</v>
      </c>
      <c r="AY96" s="18" t="s">
        <v>184</v>
      </c>
      <c r="BE96" s="150">
        <f>IF(N96="základní",J96,0)</f>
        <v>12211.5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8" t="s">
        <v>88</v>
      </c>
      <c r="BK96" s="150">
        <f>ROUND(I96*H96,2)</f>
        <v>12211.5</v>
      </c>
      <c r="BL96" s="18" t="s">
        <v>287</v>
      </c>
      <c r="BM96" s="149" t="s">
        <v>2171</v>
      </c>
    </row>
    <row r="97" spans="2:65" s="12" customFormat="1" ht="11.25" x14ac:dyDescent="0.3">
      <c r="B97" s="155"/>
      <c r="D97" s="156" t="s">
        <v>195</v>
      </c>
      <c r="E97" s="157" t="s">
        <v>1</v>
      </c>
      <c r="F97" s="158" t="s">
        <v>2172</v>
      </c>
      <c r="H97" s="159">
        <v>525</v>
      </c>
      <c r="I97" s="160"/>
      <c r="L97" s="155"/>
      <c r="M97" s="161"/>
      <c r="T97" s="162"/>
      <c r="AT97" s="157" t="s">
        <v>195</v>
      </c>
      <c r="AU97" s="157" t="s">
        <v>20</v>
      </c>
      <c r="AV97" s="12" t="s">
        <v>20</v>
      </c>
      <c r="AW97" s="12" t="s">
        <v>37</v>
      </c>
      <c r="AX97" s="12" t="s">
        <v>88</v>
      </c>
      <c r="AY97" s="157" t="s">
        <v>184</v>
      </c>
    </row>
    <row r="98" spans="2:65" s="1" customFormat="1" ht="24.2" customHeight="1" x14ac:dyDescent="0.3">
      <c r="B98" s="33"/>
      <c r="C98" s="138" t="s">
        <v>191</v>
      </c>
      <c r="D98" s="138" t="s">
        <v>186</v>
      </c>
      <c r="E98" s="139" t="s">
        <v>1371</v>
      </c>
      <c r="F98" s="140" t="s">
        <v>2173</v>
      </c>
      <c r="G98" s="141" t="s">
        <v>248</v>
      </c>
      <c r="H98" s="142">
        <v>0.14699999999999999</v>
      </c>
      <c r="I98" s="143">
        <v>3054.35</v>
      </c>
      <c r="J98" s="144">
        <f>ROUND(I98*H98,2)</f>
        <v>448.99</v>
      </c>
      <c r="K98" s="140" t="s">
        <v>190</v>
      </c>
      <c r="L98" s="33"/>
      <c r="M98" s="145" t="s">
        <v>1</v>
      </c>
      <c r="N98" s="146" t="s">
        <v>47</v>
      </c>
      <c r="O98" s="147">
        <v>8.89</v>
      </c>
      <c r="P98" s="147">
        <f>O98*H98</f>
        <v>1.3068299999999999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49" t="s">
        <v>287</v>
      </c>
      <c r="AT98" s="149" t="s">
        <v>186</v>
      </c>
      <c r="AU98" s="149" t="s">
        <v>20</v>
      </c>
      <c r="AY98" s="18" t="s">
        <v>184</v>
      </c>
      <c r="BE98" s="150">
        <f>IF(N98="základní",J98,0)</f>
        <v>448.99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8" t="s">
        <v>88</v>
      </c>
      <c r="BK98" s="150">
        <f>ROUND(I98*H98,2)</f>
        <v>448.99</v>
      </c>
      <c r="BL98" s="18" t="s">
        <v>287</v>
      </c>
      <c r="BM98" s="149" t="s">
        <v>2174</v>
      </c>
    </row>
    <row r="99" spans="2:65" s="1" customFormat="1" x14ac:dyDescent="0.3">
      <c r="B99" s="33"/>
      <c r="D99" s="151" t="s">
        <v>193</v>
      </c>
      <c r="F99" s="152" t="s">
        <v>1374</v>
      </c>
      <c r="I99" s="153"/>
      <c r="L99" s="33"/>
      <c r="M99" s="154"/>
      <c r="T99" s="57"/>
      <c r="AT99" s="18" t="s">
        <v>193</v>
      </c>
      <c r="AU99" s="18" t="s">
        <v>20</v>
      </c>
    </row>
    <row r="100" spans="2:65" s="1" customFormat="1" ht="24.2" customHeight="1" x14ac:dyDescent="0.3">
      <c r="B100" s="33"/>
      <c r="C100" s="138" t="s">
        <v>214</v>
      </c>
      <c r="D100" s="138" t="s">
        <v>186</v>
      </c>
      <c r="E100" s="139" t="s">
        <v>1375</v>
      </c>
      <c r="F100" s="140" t="s">
        <v>2175</v>
      </c>
      <c r="G100" s="141" t="s">
        <v>248</v>
      </c>
      <c r="H100" s="142">
        <v>0.14699999999999999</v>
      </c>
      <c r="I100" s="143">
        <v>1527.33</v>
      </c>
      <c r="J100" s="144">
        <f>ROUND(I100*H100,2)</f>
        <v>224.52</v>
      </c>
      <c r="K100" s="140" t="s">
        <v>190</v>
      </c>
      <c r="L100" s="33"/>
      <c r="M100" s="145" t="s">
        <v>1</v>
      </c>
      <c r="N100" s="146" t="s">
        <v>47</v>
      </c>
      <c r="O100" s="147">
        <v>4.76</v>
      </c>
      <c r="P100" s="147">
        <f>O100*H100</f>
        <v>0.6997199999999999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49" t="s">
        <v>287</v>
      </c>
      <c r="AT100" s="149" t="s">
        <v>186</v>
      </c>
      <c r="AU100" s="149" t="s">
        <v>20</v>
      </c>
      <c r="AY100" s="18" t="s">
        <v>184</v>
      </c>
      <c r="BE100" s="150">
        <f>IF(N100="základní",J100,0)</f>
        <v>224.52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8" t="s">
        <v>88</v>
      </c>
      <c r="BK100" s="150">
        <f>ROUND(I100*H100,2)</f>
        <v>224.52</v>
      </c>
      <c r="BL100" s="18" t="s">
        <v>287</v>
      </c>
      <c r="BM100" s="149" t="s">
        <v>2176</v>
      </c>
    </row>
    <row r="101" spans="2:65" s="1" customFormat="1" x14ac:dyDescent="0.3">
      <c r="B101" s="33"/>
      <c r="D101" s="151" t="s">
        <v>193</v>
      </c>
      <c r="F101" s="152" t="s">
        <v>1378</v>
      </c>
      <c r="I101" s="153"/>
      <c r="L101" s="33"/>
      <c r="M101" s="154"/>
      <c r="T101" s="57"/>
      <c r="AT101" s="18" t="s">
        <v>193</v>
      </c>
      <c r="AU101" s="18" t="s">
        <v>20</v>
      </c>
    </row>
    <row r="102" spans="2:65" s="11" customFormat="1" ht="25.9" customHeight="1" x14ac:dyDescent="0.2">
      <c r="B102" s="127"/>
      <c r="D102" s="128" t="s">
        <v>80</v>
      </c>
      <c r="E102" s="129" t="s">
        <v>271</v>
      </c>
      <c r="F102" s="129" t="s">
        <v>1258</v>
      </c>
      <c r="I102" s="171"/>
      <c r="J102" s="130">
        <f>BK102</f>
        <v>137241.52999999997</v>
      </c>
      <c r="L102" s="127"/>
      <c r="M102" s="131"/>
      <c r="P102" s="132">
        <f>P103+P107</f>
        <v>103.39058400000002</v>
      </c>
      <c r="R102" s="132">
        <f>R103+R107</f>
        <v>42.755800000000008</v>
      </c>
      <c r="T102" s="133">
        <f>T103+T107</f>
        <v>0</v>
      </c>
      <c r="AR102" s="128" t="s">
        <v>202</v>
      </c>
      <c r="AT102" s="134" t="s">
        <v>80</v>
      </c>
      <c r="AU102" s="134" t="s">
        <v>81</v>
      </c>
      <c r="AY102" s="128" t="s">
        <v>184</v>
      </c>
      <c r="BK102" s="135">
        <f>BK103+BK107</f>
        <v>137241.52999999997</v>
      </c>
    </row>
    <row r="103" spans="2:65" s="11" customFormat="1" ht="22.9" customHeight="1" x14ac:dyDescent="0.2">
      <c r="B103" s="127"/>
      <c r="D103" s="128" t="s">
        <v>80</v>
      </c>
      <c r="E103" s="136" t="s">
        <v>1291</v>
      </c>
      <c r="F103" s="136" t="s">
        <v>1292</v>
      </c>
      <c r="I103" s="171"/>
      <c r="J103" s="137">
        <f>BK103</f>
        <v>40010.339999999997</v>
      </c>
      <c r="L103" s="127"/>
      <c r="M103" s="131"/>
      <c r="P103" s="132">
        <f>SUM(P104:P106)</f>
        <v>36.450000000000003</v>
      </c>
      <c r="R103" s="132">
        <f>SUM(R104:R106)</f>
        <v>1.4999999999999999E-2</v>
      </c>
      <c r="T103" s="133">
        <f>SUM(T104:T106)</f>
        <v>0</v>
      </c>
      <c r="AR103" s="128" t="s">
        <v>202</v>
      </c>
      <c r="AT103" s="134" t="s">
        <v>80</v>
      </c>
      <c r="AU103" s="134" t="s">
        <v>88</v>
      </c>
      <c r="AY103" s="128" t="s">
        <v>184</v>
      </c>
      <c r="BK103" s="135">
        <f>SUM(BK104:BK106)</f>
        <v>40010.339999999997</v>
      </c>
    </row>
    <row r="104" spans="2:65" s="1" customFormat="1" ht="16.5" customHeight="1" x14ac:dyDescent="0.3">
      <c r="B104" s="33"/>
      <c r="C104" s="138" t="s">
        <v>221</v>
      </c>
      <c r="D104" s="138" t="s">
        <v>186</v>
      </c>
      <c r="E104" s="139" t="s">
        <v>1379</v>
      </c>
      <c r="F104" s="140" t="s">
        <v>1380</v>
      </c>
      <c r="G104" s="141" t="s">
        <v>557</v>
      </c>
      <c r="H104" s="142">
        <v>3</v>
      </c>
      <c r="I104" s="143">
        <v>8560.64</v>
      </c>
      <c r="J104" s="144">
        <f>ROUND(I104*H104,2)</f>
        <v>25681.919999999998</v>
      </c>
      <c r="K104" s="140" t="s">
        <v>190</v>
      </c>
      <c r="L104" s="33"/>
      <c r="M104" s="145" t="s">
        <v>1</v>
      </c>
      <c r="N104" s="146" t="s">
        <v>47</v>
      </c>
      <c r="O104" s="147">
        <v>12.15</v>
      </c>
      <c r="P104" s="147">
        <f>O104*H104</f>
        <v>36.450000000000003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49" t="s">
        <v>1032</v>
      </c>
      <c r="AT104" s="149" t="s">
        <v>186</v>
      </c>
      <c r="AU104" s="149" t="s">
        <v>20</v>
      </c>
      <c r="AY104" s="18" t="s">
        <v>184</v>
      </c>
      <c r="BE104" s="150">
        <f>IF(N104="základní",J104,0)</f>
        <v>25681.919999999998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8" t="s">
        <v>88</v>
      </c>
      <c r="BK104" s="150">
        <f>ROUND(I104*H104,2)</f>
        <v>25681.919999999998</v>
      </c>
      <c r="BL104" s="18" t="s">
        <v>1032</v>
      </c>
      <c r="BM104" s="149" t="s">
        <v>2177</v>
      </c>
    </row>
    <row r="105" spans="2:65" s="1" customFormat="1" x14ac:dyDescent="0.3">
      <c r="B105" s="33"/>
      <c r="D105" s="151" t="s">
        <v>193</v>
      </c>
      <c r="F105" s="152" t="s">
        <v>1382</v>
      </c>
      <c r="I105" s="153"/>
      <c r="L105" s="33"/>
      <c r="M105" s="154"/>
      <c r="T105" s="57"/>
      <c r="AT105" s="18" t="s">
        <v>193</v>
      </c>
      <c r="AU105" s="18" t="s">
        <v>20</v>
      </c>
    </row>
    <row r="106" spans="2:65" s="1" customFormat="1" ht="24.2" customHeight="1" x14ac:dyDescent="0.3">
      <c r="B106" s="33"/>
      <c r="C106" s="172" t="s">
        <v>231</v>
      </c>
      <c r="D106" s="172" t="s">
        <v>271</v>
      </c>
      <c r="E106" s="173" t="s">
        <v>1383</v>
      </c>
      <c r="F106" s="174" t="s">
        <v>1384</v>
      </c>
      <c r="G106" s="175" t="s">
        <v>557</v>
      </c>
      <c r="H106" s="176">
        <v>3</v>
      </c>
      <c r="I106" s="177">
        <v>4776.1400000000003</v>
      </c>
      <c r="J106" s="178">
        <f>ROUND(I106*H106,2)</f>
        <v>14328.42</v>
      </c>
      <c r="K106" s="174" t="s">
        <v>1</v>
      </c>
      <c r="L106" s="179"/>
      <c r="M106" s="180" t="s">
        <v>1</v>
      </c>
      <c r="N106" s="181" t="s">
        <v>47</v>
      </c>
      <c r="O106" s="147">
        <v>0</v>
      </c>
      <c r="P106" s="147">
        <f>O106*H106</f>
        <v>0</v>
      </c>
      <c r="Q106" s="147">
        <v>5.0000000000000001E-3</v>
      </c>
      <c r="R106" s="147">
        <f>Q106*H106</f>
        <v>1.4999999999999999E-2</v>
      </c>
      <c r="S106" s="147">
        <v>0</v>
      </c>
      <c r="T106" s="148">
        <f>S106*H106</f>
        <v>0</v>
      </c>
      <c r="AR106" s="149" t="s">
        <v>1299</v>
      </c>
      <c r="AT106" s="149" t="s">
        <v>271</v>
      </c>
      <c r="AU106" s="149" t="s">
        <v>20</v>
      </c>
      <c r="AY106" s="18" t="s">
        <v>184</v>
      </c>
      <c r="BE106" s="150">
        <f>IF(N106="základní",J106,0)</f>
        <v>14328.42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8" t="s">
        <v>88</v>
      </c>
      <c r="BK106" s="150">
        <f>ROUND(I106*H106,2)</f>
        <v>14328.42</v>
      </c>
      <c r="BL106" s="18" t="s">
        <v>1032</v>
      </c>
      <c r="BM106" s="149" t="s">
        <v>2178</v>
      </c>
    </row>
    <row r="107" spans="2:65" s="11" customFormat="1" ht="22.9" customHeight="1" x14ac:dyDescent="0.2">
      <c r="B107" s="127"/>
      <c r="D107" s="128" t="s">
        <v>80</v>
      </c>
      <c r="E107" s="136" t="s">
        <v>1307</v>
      </c>
      <c r="F107" s="136" t="s">
        <v>1308</v>
      </c>
      <c r="I107" s="171"/>
      <c r="J107" s="137">
        <f>BK107</f>
        <v>97231.189999999988</v>
      </c>
      <c r="L107" s="127"/>
      <c r="M107" s="131"/>
      <c r="P107" s="132">
        <f>SUM(P108:P131)</f>
        <v>66.940584000000015</v>
      </c>
      <c r="R107" s="132">
        <f>SUM(R108:R131)</f>
        <v>42.740800000000007</v>
      </c>
      <c r="T107" s="133">
        <f>SUM(T108:T131)</f>
        <v>0</v>
      </c>
      <c r="AR107" s="128" t="s">
        <v>202</v>
      </c>
      <c r="AT107" s="134" t="s">
        <v>80</v>
      </c>
      <c r="AU107" s="134" t="s">
        <v>88</v>
      </c>
      <c r="AY107" s="128" t="s">
        <v>184</v>
      </c>
      <c r="BK107" s="135">
        <f>SUM(BK108:BK131)</f>
        <v>97231.189999999988</v>
      </c>
    </row>
    <row r="108" spans="2:65" s="1" customFormat="1" ht="37.9" customHeight="1" x14ac:dyDescent="0.3">
      <c r="B108" s="33"/>
      <c r="C108" s="138" t="s">
        <v>239</v>
      </c>
      <c r="D108" s="138" t="s">
        <v>186</v>
      </c>
      <c r="E108" s="139" t="s">
        <v>1314</v>
      </c>
      <c r="F108" s="140" t="s">
        <v>2141</v>
      </c>
      <c r="G108" s="141" t="s">
        <v>210</v>
      </c>
      <c r="H108" s="142">
        <v>120</v>
      </c>
      <c r="I108" s="143">
        <v>244.35</v>
      </c>
      <c r="J108" s="144">
        <f>ROUND(I108*H108,2)</f>
        <v>29322</v>
      </c>
      <c r="K108" s="140" t="s">
        <v>190</v>
      </c>
      <c r="L108" s="33"/>
      <c r="M108" s="145" t="s">
        <v>1</v>
      </c>
      <c r="N108" s="146" t="s">
        <v>47</v>
      </c>
      <c r="O108" s="147">
        <v>0.16700000000000001</v>
      </c>
      <c r="P108" s="147">
        <f>O108*H108</f>
        <v>20.040000000000003</v>
      </c>
      <c r="Q108" s="147">
        <v>0</v>
      </c>
      <c r="R108" s="147">
        <f>Q108*H108</f>
        <v>0</v>
      </c>
      <c r="S108" s="147">
        <v>0</v>
      </c>
      <c r="T108" s="148">
        <f>S108*H108</f>
        <v>0</v>
      </c>
      <c r="AR108" s="149" t="s">
        <v>1032</v>
      </c>
      <c r="AT108" s="149" t="s">
        <v>186</v>
      </c>
      <c r="AU108" s="149" t="s">
        <v>20</v>
      </c>
      <c r="AY108" s="18" t="s">
        <v>184</v>
      </c>
      <c r="BE108" s="150">
        <f>IF(N108="základní",J108,0)</f>
        <v>29322</v>
      </c>
      <c r="BF108" s="150">
        <f>IF(N108="snížená",J108,0)</f>
        <v>0</v>
      </c>
      <c r="BG108" s="150">
        <f>IF(N108="zákl. přenesená",J108,0)</f>
        <v>0</v>
      </c>
      <c r="BH108" s="150">
        <f>IF(N108="sníž. přenesená",J108,0)</f>
        <v>0</v>
      </c>
      <c r="BI108" s="150">
        <f>IF(N108="nulová",J108,0)</f>
        <v>0</v>
      </c>
      <c r="BJ108" s="18" t="s">
        <v>88</v>
      </c>
      <c r="BK108" s="150">
        <f>ROUND(I108*H108,2)</f>
        <v>29322</v>
      </c>
      <c r="BL108" s="18" t="s">
        <v>1032</v>
      </c>
      <c r="BM108" s="149" t="s">
        <v>2179</v>
      </c>
    </row>
    <row r="109" spans="2:65" s="1" customFormat="1" x14ac:dyDescent="0.3">
      <c r="B109" s="33"/>
      <c r="D109" s="151" t="s">
        <v>193</v>
      </c>
      <c r="F109" s="152" t="s">
        <v>1317</v>
      </c>
      <c r="I109" s="153"/>
      <c r="L109" s="33"/>
      <c r="M109" s="154"/>
      <c r="T109" s="57"/>
      <c r="AT109" s="18" t="s">
        <v>193</v>
      </c>
      <c r="AU109" s="18" t="s">
        <v>20</v>
      </c>
    </row>
    <row r="110" spans="2:65" s="1" customFormat="1" ht="24.2" customHeight="1" x14ac:dyDescent="0.3">
      <c r="B110" s="33"/>
      <c r="C110" s="138" t="s">
        <v>245</v>
      </c>
      <c r="D110" s="138" t="s">
        <v>186</v>
      </c>
      <c r="E110" s="139" t="s">
        <v>1318</v>
      </c>
      <c r="F110" s="140" t="s">
        <v>2143</v>
      </c>
      <c r="G110" s="141" t="s">
        <v>217</v>
      </c>
      <c r="H110" s="142">
        <v>16.8</v>
      </c>
      <c r="I110" s="143">
        <v>142.68</v>
      </c>
      <c r="J110" s="144">
        <f>ROUND(I110*H110,2)</f>
        <v>2397.02</v>
      </c>
      <c r="K110" s="140" t="s">
        <v>190</v>
      </c>
      <c r="L110" s="33"/>
      <c r="M110" s="145" t="s">
        <v>1</v>
      </c>
      <c r="N110" s="146" t="s">
        <v>47</v>
      </c>
      <c r="O110" s="147">
        <v>9.4E-2</v>
      </c>
      <c r="P110" s="147">
        <f>O110*H110</f>
        <v>1.5792000000000002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AR110" s="149" t="s">
        <v>1032</v>
      </c>
      <c r="AT110" s="149" t="s">
        <v>186</v>
      </c>
      <c r="AU110" s="149" t="s">
        <v>20</v>
      </c>
      <c r="AY110" s="18" t="s">
        <v>184</v>
      </c>
      <c r="BE110" s="150">
        <f>IF(N110="základní",J110,0)</f>
        <v>2397.02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8" t="s">
        <v>88</v>
      </c>
      <c r="BK110" s="150">
        <f>ROUND(I110*H110,2)</f>
        <v>2397.02</v>
      </c>
      <c r="BL110" s="18" t="s">
        <v>1032</v>
      </c>
      <c r="BM110" s="149" t="s">
        <v>2180</v>
      </c>
    </row>
    <row r="111" spans="2:65" s="1" customFormat="1" x14ac:dyDescent="0.3">
      <c r="B111" s="33"/>
      <c r="D111" s="151" t="s">
        <v>193</v>
      </c>
      <c r="F111" s="152" t="s">
        <v>1321</v>
      </c>
      <c r="I111" s="153"/>
      <c r="L111" s="33"/>
      <c r="M111" s="154"/>
      <c r="T111" s="57"/>
      <c r="AT111" s="18" t="s">
        <v>193</v>
      </c>
      <c r="AU111" s="18" t="s">
        <v>20</v>
      </c>
    </row>
    <row r="112" spans="2:65" s="12" customFormat="1" ht="11.25" x14ac:dyDescent="0.3">
      <c r="B112" s="155"/>
      <c r="D112" s="156" t="s">
        <v>195</v>
      </c>
      <c r="E112" s="157" t="s">
        <v>1</v>
      </c>
      <c r="F112" s="158" t="s">
        <v>2181</v>
      </c>
      <c r="H112" s="159">
        <v>16.8</v>
      </c>
      <c r="I112" s="160"/>
      <c r="L112" s="155"/>
      <c r="M112" s="161"/>
      <c r="T112" s="162"/>
      <c r="AT112" s="157" t="s">
        <v>195</v>
      </c>
      <c r="AU112" s="157" t="s">
        <v>20</v>
      </c>
      <c r="AV112" s="12" t="s">
        <v>20</v>
      </c>
      <c r="AW112" s="12" t="s">
        <v>37</v>
      </c>
      <c r="AX112" s="12" t="s">
        <v>88</v>
      </c>
      <c r="AY112" s="157" t="s">
        <v>184</v>
      </c>
    </row>
    <row r="113" spans="2:65" s="1" customFormat="1" ht="33" customHeight="1" x14ac:dyDescent="0.3">
      <c r="B113" s="33"/>
      <c r="C113" s="138" t="s">
        <v>252</v>
      </c>
      <c r="D113" s="138" t="s">
        <v>186</v>
      </c>
      <c r="E113" s="139" t="s">
        <v>1323</v>
      </c>
      <c r="F113" s="140" t="s">
        <v>2146</v>
      </c>
      <c r="G113" s="141" t="s">
        <v>217</v>
      </c>
      <c r="H113" s="142">
        <v>218.4</v>
      </c>
      <c r="I113" s="143">
        <v>7.13</v>
      </c>
      <c r="J113" s="144">
        <f>ROUND(I113*H113,2)</f>
        <v>1557.19</v>
      </c>
      <c r="K113" s="140" t="s">
        <v>190</v>
      </c>
      <c r="L113" s="33"/>
      <c r="M113" s="145" t="s">
        <v>1</v>
      </c>
      <c r="N113" s="146" t="s">
        <v>47</v>
      </c>
      <c r="O113" s="147">
        <v>1.2999999999999999E-2</v>
      </c>
      <c r="P113" s="147">
        <f>O113*H113</f>
        <v>2.8391999999999999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49" t="s">
        <v>1032</v>
      </c>
      <c r="AT113" s="149" t="s">
        <v>186</v>
      </c>
      <c r="AU113" s="149" t="s">
        <v>20</v>
      </c>
      <c r="AY113" s="18" t="s">
        <v>184</v>
      </c>
      <c r="BE113" s="150">
        <f>IF(N113="základní",J113,0)</f>
        <v>1557.19</v>
      </c>
      <c r="BF113" s="150">
        <f>IF(N113="snížená",J113,0)</f>
        <v>0</v>
      </c>
      <c r="BG113" s="150">
        <f>IF(N113="zákl. přenesená",J113,0)</f>
        <v>0</v>
      </c>
      <c r="BH113" s="150">
        <f>IF(N113="sníž. přenesená",J113,0)</f>
        <v>0</v>
      </c>
      <c r="BI113" s="150">
        <f>IF(N113="nulová",J113,0)</f>
        <v>0</v>
      </c>
      <c r="BJ113" s="18" t="s">
        <v>88</v>
      </c>
      <c r="BK113" s="150">
        <f>ROUND(I113*H113,2)</f>
        <v>1557.19</v>
      </c>
      <c r="BL113" s="18" t="s">
        <v>1032</v>
      </c>
      <c r="BM113" s="149" t="s">
        <v>2182</v>
      </c>
    </row>
    <row r="114" spans="2:65" s="1" customFormat="1" x14ac:dyDescent="0.3">
      <c r="B114" s="33"/>
      <c r="D114" s="151" t="s">
        <v>193</v>
      </c>
      <c r="F114" s="152" t="s">
        <v>1326</v>
      </c>
      <c r="I114" s="153"/>
      <c r="L114" s="33"/>
      <c r="M114" s="154"/>
      <c r="T114" s="57"/>
      <c r="AT114" s="18" t="s">
        <v>193</v>
      </c>
      <c r="AU114" s="18" t="s">
        <v>20</v>
      </c>
    </row>
    <row r="115" spans="2:65" s="1" customFormat="1" ht="19.5" x14ac:dyDescent="0.3">
      <c r="B115" s="33"/>
      <c r="D115" s="156" t="s">
        <v>236</v>
      </c>
      <c r="F115" s="170" t="s">
        <v>1327</v>
      </c>
      <c r="I115" s="153"/>
      <c r="L115" s="33"/>
      <c r="M115" s="154"/>
      <c r="T115" s="57"/>
      <c r="AT115" s="18" t="s">
        <v>236</v>
      </c>
      <c r="AU115" s="18" t="s">
        <v>20</v>
      </c>
    </row>
    <row r="116" spans="2:65" s="12" customFormat="1" ht="11.25" x14ac:dyDescent="0.3">
      <c r="B116" s="155"/>
      <c r="D116" s="156" t="s">
        <v>195</v>
      </c>
      <c r="E116" s="157" t="s">
        <v>1</v>
      </c>
      <c r="F116" s="158" t="s">
        <v>2183</v>
      </c>
      <c r="H116" s="159">
        <v>218.4</v>
      </c>
      <c r="I116" s="160"/>
      <c r="L116" s="155"/>
      <c r="M116" s="161"/>
      <c r="T116" s="162"/>
      <c r="AT116" s="157" t="s">
        <v>195</v>
      </c>
      <c r="AU116" s="157" t="s">
        <v>20</v>
      </c>
      <c r="AV116" s="12" t="s">
        <v>20</v>
      </c>
      <c r="AW116" s="12" t="s">
        <v>37</v>
      </c>
      <c r="AX116" s="12" t="s">
        <v>88</v>
      </c>
      <c r="AY116" s="157" t="s">
        <v>184</v>
      </c>
    </row>
    <row r="117" spans="2:65" s="1" customFormat="1" ht="21.75" customHeight="1" x14ac:dyDescent="0.3">
      <c r="B117" s="33"/>
      <c r="C117" s="138" t="s">
        <v>257</v>
      </c>
      <c r="D117" s="138" t="s">
        <v>186</v>
      </c>
      <c r="E117" s="139" t="s">
        <v>1329</v>
      </c>
      <c r="F117" s="140" t="s">
        <v>2149</v>
      </c>
      <c r="G117" s="141" t="s">
        <v>248</v>
      </c>
      <c r="H117" s="142">
        <v>33.6</v>
      </c>
      <c r="I117" s="143">
        <v>256.7</v>
      </c>
      <c r="J117" s="144">
        <f>ROUND(I117*H117,2)</f>
        <v>8625.1200000000008</v>
      </c>
      <c r="K117" s="140" t="s">
        <v>190</v>
      </c>
      <c r="L117" s="33"/>
      <c r="M117" s="145" t="s">
        <v>1</v>
      </c>
      <c r="N117" s="146" t="s">
        <v>47</v>
      </c>
      <c r="O117" s="147">
        <v>0</v>
      </c>
      <c r="P117" s="147">
        <f>O117*H117</f>
        <v>0</v>
      </c>
      <c r="Q117" s="147">
        <v>0</v>
      </c>
      <c r="R117" s="147">
        <f>Q117*H117</f>
        <v>0</v>
      </c>
      <c r="S117" s="147">
        <v>0</v>
      </c>
      <c r="T117" s="148">
        <f>S117*H117</f>
        <v>0</v>
      </c>
      <c r="AR117" s="149" t="s">
        <v>1032</v>
      </c>
      <c r="AT117" s="149" t="s">
        <v>186</v>
      </c>
      <c r="AU117" s="149" t="s">
        <v>20</v>
      </c>
      <c r="AY117" s="18" t="s">
        <v>184</v>
      </c>
      <c r="BE117" s="150">
        <f>IF(N117="základní",J117,0)</f>
        <v>8625.1200000000008</v>
      </c>
      <c r="BF117" s="150">
        <f>IF(N117="snížená",J117,0)</f>
        <v>0</v>
      </c>
      <c r="BG117" s="150">
        <f>IF(N117="zákl. přenesená",J117,0)</f>
        <v>0</v>
      </c>
      <c r="BH117" s="150">
        <f>IF(N117="sníž. přenesená",J117,0)</f>
        <v>0</v>
      </c>
      <c r="BI117" s="150">
        <f>IF(N117="nulová",J117,0)</f>
        <v>0</v>
      </c>
      <c r="BJ117" s="18" t="s">
        <v>88</v>
      </c>
      <c r="BK117" s="150">
        <f>ROUND(I117*H117,2)</f>
        <v>8625.1200000000008</v>
      </c>
      <c r="BL117" s="18" t="s">
        <v>1032</v>
      </c>
      <c r="BM117" s="149" t="s">
        <v>2184</v>
      </c>
    </row>
    <row r="118" spans="2:65" s="1" customFormat="1" x14ac:dyDescent="0.3">
      <c r="B118" s="33"/>
      <c r="D118" s="151" t="s">
        <v>193</v>
      </c>
      <c r="F118" s="152" t="s">
        <v>1332</v>
      </c>
      <c r="I118" s="153"/>
      <c r="L118" s="33"/>
      <c r="M118" s="154"/>
      <c r="T118" s="57"/>
      <c r="AT118" s="18" t="s">
        <v>193</v>
      </c>
      <c r="AU118" s="18" t="s">
        <v>20</v>
      </c>
    </row>
    <row r="119" spans="2:65" s="12" customFormat="1" ht="11.25" x14ac:dyDescent="0.3">
      <c r="B119" s="155"/>
      <c r="D119" s="156" t="s">
        <v>195</v>
      </c>
      <c r="E119" s="157" t="s">
        <v>1</v>
      </c>
      <c r="F119" s="158" t="s">
        <v>2185</v>
      </c>
      <c r="H119" s="159">
        <v>33.6</v>
      </c>
      <c r="I119" s="160"/>
      <c r="L119" s="155"/>
      <c r="M119" s="161"/>
      <c r="T119" s="162"/>
      <c r="AT119" s="157" t="s">
        <v>195</v>
      </c>
      <c r="AU119" s="157" t="s">
        <v>20</v>
      </c>
      <c r="AV119" s="12" t="s">
        <v>20</v>
      </c>
      <c r="AW119" s="12" t="s">
        <v>37</v>
      </c>
      <c r="AX119" s="12" t="s">
        <v>88</v>
      </c>
      <c r="AY119" s="157" t="s">
        <v>184</v>
      </c>
    </row>
    <row r="120" spans="2:65" s="1" customFormat="1" ht="33" customHeight="1" x14ac:dyDescent="0.3">
      <c r="B120" s="33"/>
      <c r="C120" s="138" t="s">
        <v>264</v>
      </c>
      <c r="D120" s="138" t="s">
        <v>186</v>
      </c>
      <c r="E120" s="139" t="s">
        <v>1334</v>
      </c>
      <c r="F120" s="140" t="s">
        <v>2152</v>
      </c>
      <c r="G120" s="141" t="s">
        <v>210</v>
      </c>
      <c r="H120" s="142">
        <v>120</v>
      </c>
      <c r="I120" s="143">
        <v>91.63</v>
      </c>
      <c r="J120" s="144">
        <f>ROUND(I120*H120,2)</f>
        <v>10995.6</v>
      </c>
      <c r="K120" s="140" t="s">
        <v>190</v>
      </c>
      <c r="L120" s="33"/>
      <c r="M120" s="145" t="s">
        <v>1</v>
      </c>
      <c r="N120" s="146" t="s">
        <v>47</v>
      </c>
      <c r="O120" s="147">
        <v>0.113</v>
      </c>
      <c r="P120" s="147">
        <f>O120*H120</f>
        <v>13.56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49" t="s">
        <v>1032</v>
      </c>
      <c r="AT120" s="149" t="s">
        <v>186</v>
      </c>
      <c r="AU120" s="149" t="s">
        <v>20</v>
      </c>
      <c r="AY120" s="18" t="s">
        <v>184</v>
      </c>
      <c r="BE120" s="150">
        <f>IF(N120="základní",J120,0)</f>
        <v>10995.6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8" t="s">
        <v>88</v>
      </c>
      <c r="BK120" s="150">
        <f>ROUND(I120*H120,2)</f>
        <v>10995.6</v>
      </c>
      <c r="BL120" s="18" t="s">
        <v>1032</v>
      </c>
      <c r="BM120" s="149" t="s">
        <v>2186</v>
      </c>
    </row>
    <row r="121" spans="2:65" s="1" customFormat="1" x14ac:dyDescent="0.3">
      <c r="B121" s="33"/>
      <c r="D121" s="151" t="s">
        <v>193</v>
      </c>
      <c r="F121" s="152" t="s">
        <v>1337</v>
      </c>
      <c r="I121" s="153"/>
      <c r="L121" s="33"/>
      <c r="M121" s="154"/>
      <c r="T121" s="57"/>
      <c r="AT121" s="18" t="s">
        <v>193</v>
      </c>
      <c r="AU121" s="18" t="s">
        <v>20</v>
      </c>
    </row>
    <row r="122" spans="2:65" s="12" customFormat="1" ht="11.25" x14ac:dyDescent="0.3">
      <c r="B122" s="155"/>
      <c r="D122" s="156" t="s">
        <v>195</v>
      </c>
      <c r="E122" s="157" t="s">
        <v>1</v>
      </c>
      <c r="F122" s="158" t="s">
        <v>2187</v>
      </c>
      <c r="H122" s="159">
        <v>120</v>
      </c>
      <c r="I122" s="160"/>
      <c r="L122" s="155"/>
      <c r="M122" s="161"/>
      <c r="T122" s="162"/>
      <c r="AT122" s="157" t="s">
        <v>195</v>
      </c>
      <c r="AU122" s="157" t="s">
        <v>20</v>
      </c>
      <c r="AV122" s="12" t="s">
        <v>20</v>
      </c>
      <c r="AW122" s="12" t="s">
        <v>37</v>
      </c>
      <c r="AX122" s="12" t="s">
        <v>88</v>
      </c>
      <c r="AY122" s="157" t="s">
        <v>184</v>
      </c>
    </row>
    <row r="123" spans="2:65" s="1" customFormat="1" ht="16.5" customHeight="1" x14ac:dyDescent="0.3">
      <c r="B123" s="33"/>
      <c r="C123" s="172" t="s">
        <v>270</v>
      </c>
      <c r="D123" s="172" t="s">
        <v>271</v>
      </c>
      <c r="E123" s="173" t="s">
        <v>1338</v>
      </c>
      <c r="F123" s="174" t="s">
        <v>1339</v>
      </c>
      <c r="G123" s="175" t="s">
        <v>248</v>
      </c>
      <c r="H123" s="176">
        <v>18.73</v>
      </c>
      <c r="I123" s="177">
        <v>398.07</v>
      </c>
      <c r="J123" s="178">
        <f>ROUND(I123*H123,2)</f>
        <v>7455.85</v>
      </c>
      <c r="K123" s="174" t="s">
        <v>190</v>
      </c>
      <c r="L123" s="179"/>
      <c r="M123" s="180" t="s">
        <v>1</v>
      </c>
      <c r="N123" s="181" t="s">
        <v>47</v>
      </c>
      <c r="O123" s="147">
        <v>0</v>
      </c>
      <c r="P123" s="147">
        <f>O123*H123</f>
        <v>0</v>
      </c>
      <c r="Q123" s="147">
        <v>1</v>
      </c>
      <c r="R123" s="147">
        <f>Q123*H123</f>
        <v>18.73</v>
      </c>
      <c r="S123" s="147">
        <v>0</v>
      </c>
      <c r="T123" s="148">
        <f>S123*H123</f>
        <v>0</v>
      </c>
      <c r="AR123" s="149" t="s">
        <v>1299</v>
      </c>
      <c r="AT123" s="149" t="s">
        <v>271</v>
      </c>
      <c r="AU123" s="149" t="s">
        <v>20</v>
      </c>
      <c r="AY123" s="18" t="s">
        <v>184</v>
      </c>
      <c r="BE123" s="150">
        <f>IF(N123="základní",J123,0)</f>
        <v>7455.85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8" t="s">
        <v>88</v>
      </c>
      <c r="BK123" s="150">
        <f>ROUND(I123*H123,2)</f>
        <v>7455.85</v>
      </c>
      <c r="BL123" s="18" t="s">
        <v>1032</v>
      </c>
      <c r="BM123" s="149" t="s">
        <v>2188</v>
      </c>
    </row>
    <row r="124" spans="2:65" s="12" customFormat="1" ht="11.25" x14ac:dyDescent="0.3">
      <c r="B124" s="155"/>
      <c r="D124" s="156" t="s">
        <v>195</v>
      </c>
      <c r="E124" s="157" t="s">
        <v>1</v>
      </c>
      <c r="F124" s="158" t="s">
        <v>2189</v>
      </c>
      <c r="H124" s="159">
        <v>9.3650000000000002</v>
      </c>
      <c r="I124" s="160"/>
      <c r="L124" s="155"/>
      <c r="M124" s="161"/>
      <c r="T124" s="162"/>
      <c r="AT124" s="157" t="s">
        <v>195</v>
      </c>
      <c r="AU124" s="157" t="s">
        <v>20</v>
      </c>
      <c r="AV124" s="12" t="s">
        <v>20</v>
      </c>
      <c r="AW124" s="12" t="s">
        <v>37</v>
      </c>
      <c r="AX124" s="12" t="s">
        <v>81</v>
      </c>
      <c r="AY124" s="157" t="s">
        <v>184</v>
      </c>
    </row>
    <row r="125" spans="2:65" s="12" customFormat="1" ht="11.25" x14ac:dyDescent="0.3">
      <c r="B125" s="155"/>
      <c r="D125" s="156" t="s">
        <v>195</v>
      </c>
      <c r="E125" s="157" t="s">
        <v>1</v>
      </c>
      <c r="F125" s="158" t="s">
        <v>2190</v>
      </c>
      <c r="H125" s="159">
        <v>18.73</v>
      </c>
      <c r="I125" s="160"/>
      <c r="L125" s="155"/>
      <c r="M125" s="161"/>
      <c r="T125" s="162"/>
      <c r="AT125" s="157" t="s">
        <v>195</v>
      </c>
      <c r="AU125" s="157" t="s">
        <v>20</v>
      </c>
      <c r="AV125" s="12" t="s">
        <v>20</v>
      </c>
      <c r="AW125" s="12" t="s">
        <v>37</v>
      </c>
      <c r="AX125" s="12" t="s">
        <v>88</v>
      </c>
      <c r="AY125" s="157" t="s">
        <v>184</v>
      </c>
    </row>
    <row r="126" spans="2:65" s="1" customFormat="1" ht="24.2" customHeight="1" x14ac:dyDescent="0.3">
      <c r="B126" s="33"/>
      <c r="C126" s="138" t="s">
        <v>276</v>
      </c>
      <c r="D126" s="138" t="s">
        <v>186</v>
      </c>
      <c r="E126" s="139" t="s">
        <v>1347</v>
      </c>
      <c r="F126" s="140" t="s">
        <v>2160</v>
      </c>
      <c r="G126" s="141" t="s">
        <v>210</v>
      </c>
      <c r="H126" s="142">
        <v>120</v>
      </c>
      <c r="I126" s="143">
        <v>183.26</v>
      </c>
      <c r="J126" s="144">
        <f>ROUND(I126*H126,2)</f>
        <v>21991.200000000001</v>
      </c>
      <c r="K126" s="140" t="s">
        <v>190</v>
      </c>
      <c r="L126" s="33"/>
      <c r="M126" s="145" t="s">
        <v>1</v>
      </c>
      <c r="N126" s="146" t="s">
        <v>47</v>
      </c>
      <c r="O126" s="147">
        <v>6.5000000000000002E-2</v>
      </c>
      <c r="P126" s="147">
        <f>O126*H126</f>
        <v>7.8000000000000007</v>
      </c>
      <c r="Q126" s="147">
        <v>0.2</v>
      </c>
      <c r="R126" s="147">
        <f>Q126*H126</f>
        <v>24</v>
      </c>
      <c r="S126" s="147">
        <v>0</v>
      </c>
      <c r="T126" s="148">
        <f>S126*H126</f>
        <v>0</v>
      </c>
      <c r="AR126" s="149" t="s">
        <v>1032</v>
      </c>
      <c r="AT126" s="149" t="s">
        <v>186</v>
      </c>
      <c r="AU126" s="149" t="s">
        <v>20</v>
      </c>
      <c r="AY126" s="18" t="s">
        <v>184</v>
      </c>
      <c r="BE126" s="150">
        <f>IF(N126="základní",J126,0)</f>
        <v>21991.200000000001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8" t="s">
        <v>88</v>
      </c>
      <c r="BK126" s="150">
        <f>ROUND(I126*H126,2)</f>
        <v>21991.200000000001</v>
      </c>
      <c r="BL126" s="18" t="s">
        <v>1032</v>
      </c>
      <c r="BM126" s="149" t="s">
        <v>2191</v>
      </c>
    </row>
    <row r="127" spans="2:65" s="1" customFormat="1" x14ac:dyDescent="0.3">
      <c r="B127" s="33"/>
      <c r="D127" s="151" t="s">
        <v>193</v>
      </c>
      <c r="F127" s="152" t="s">
        <v>1350</v>
      </c>
      <c r="I127" s="153"/>
      <c r="L127" s="33"/>
      <c r="M127" s="154"/>
      <c r="T127" s="57"/>
      <c r="AT127" s="18" t="s">
        <v>193</v>
      </c>
      <c r="AU127" s="18" t="s">
        <v>20</v>
      </c>
    </row>
    <row r="128" spans="2:65" s="1" customFormat="1" ht="21.75" customHeight="1" x14ac:dyDescent="0.3">
      <c r="B128" s="33"/>
      <c r="C128" s="138" t="s">
        <v>7</v>
      </c>
      <c r="D128" s="138" t="s">
        <v>186</v>
      </c>
      <c r="E128" s="139" t="s">
        <v>1351</v>
      </c>
      <c r="F128" s="140" t="s">
        <v>2162</v>
      </c>
      <c r="G128" s="141" t="s">
        <v>210</v>
      </c>
      <c r="H128" s="142">
        <v>120</v>
      </c>
      <c r="I128" s="143">
        <v>15.27</v>
      </c>
      <c r="J128" s="144">
        <f>ROUND(I128*H128,2)</f>
        <v>1832.4</v>
      </c>
      <c r="K128" s="140" t="s">
        <v>190</v>
      </c>
      <c r="L128" s="33"/>
      <c r="M128" s="145" t="s">
        <v>1</v>
      </c>
      <c r="N128" s="146" t="s">
        <v>47</v>
      </c>
      <c r="O128" s="147">
        <v>2.5000000000000001E-2</v>
      </c>
      <c r="P128" s="147">
        <f>O128*H128</f>
        <v>3</v>
      </c>
      <c r="Q128" s="147">
        <v>9.0000000000000006E-5</v>
      </c>
      <c r="R128" s="147">
        <f>Q128*H128</f>
        <v>1.0800000000000001E-2</v>
      </c>
      <c r="S128" s="147">
        <v>0</v>
      </c>
      <c r="T128" s="148">
        <f>S128*H128</f>
        <v>0</v>
      </c>
      <c r="AR128" s="149" t="s">
        <v>1032</v>
      </c>
      <c r="AT128" s="149" t="s">
        <v>186</v>
      </c>
      <c r="AU128" s="149" t="s">
        <v>20</v>
      </c>
      <c r="AY128" s="18" t="s">
        <v>184</v>
      </c>
      <c r="BE128" s="150">
        <f>IF(N128="základní",J128,0)</f>
        <v>1832.4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1832.4</v>
      </c>
      <c r="BL128" s="18" t="s">
        <v>1032</v>
      </c>
      <c r="BM128" s="149" t="s">
        <v>2192</v>
      </c>
    </row>
    <row r="129" spans="2:65" s="1" customFormat="1" x14ac:dyDescent="0.3">
      <c r="B129" s="33"/>
      <c r="D129" s="151" t="s">
        <v>193</v>
      </c>
      <c r="F129" s="152" t="s">
        <v>1354</v>
      </c>
      <c r="I129" s="153"/>
      <c r="L129" s="33"/>
      <c r="M129" s="154"/>
      <c r="T129" s="57"/>
      <c r="AT129" s="18" t="s">
        <v>193</v>
      </c>
      <c r="AU129" s="18" t="s">
        <v>20</v>
      </c>
    </row>
    <row r="130" spans="2:65" s="1" customFormat="1" ht="16.5" customHeight="1" x14ac:dyDescent="0.3">
      <c r="B130" s="33"/>
      <c r="C130" s="138" t="s">
        <v>287</v>
      </c>
      <c r="D130" s="138" t="s">
        <v>186</v>
      </c>
      <c r="E130" s="139" t="s">
        <v>1355</v>
      </c>
      <c r="F130" s="140" t="s">
        <v>2164</v>
      </c>
      <c r="G130" s="141" t="s">
        <v>248</v>
      </c>
      <c r="H130" s="142">
        <v>42.741</v>
      </c>
      <c r="I130" s="143">
        <v>305.44</v>
      </c>
      <c r="J130" s="144">
        <f>ROUND(I130*H130,2)</f>
        <v>13054.81</v>
      </c>
      <c r="K130" s="140" t="s">
        <v>190</v>
      </c>
      <c r="L130" s="33"/>
      <c r="M130" s="145" t="s">
        <v>1</v>
      </c>
      <c r="N130" s="146" t="s">
        <v>47</v>
      </c>
      <c r="O130" s="147">
        <v>0.42399999999999999</v>
      </c>
      <c r="P130" s="147">
        <f>O130*H130</f>
        <v>18.122184000000001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AR130" s="149" t="s">
        <v>1032</v>
      </c>
      <c r="AT130" s="149" t="s">
        <v>186</v>
      </c>
      <c r="AU130" s="149" t="s">
        <v>20</v>
      </c>
      <c r="AY130" s="18" t="s">
        <v>184</v>
      </c>
      <c r="BE130" s="150">
        <f>IF(N130="základní",J130,0)</f>
        <v>13054.81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8" t="s">
        <v>88</v>
      </c>
      <c r="BK130" s="150">
        <f>ROUND(I130*H130,2)</f>
        <v>13054.81</v>
      </c>
      <c r="BL130" s="18" t="s">
        <v>1032</v>
      </c>
      <c r="BM130" s="149" t="s">
        <v>2193</v>
      </c>
    </row>
    <row r="131" spans="2:65" s="1" customFormat="1" x14ac:dyDescent="0.3">
      <c r="B131" s="33"/>
      <c r="D131" s="151" t="s">
        <v>193</v>
      </c>
      <c r="F131" s="152" t="s">
        <v>1358</v>
      </c>
      <c r="I131" s="153"/>
      <c r="L131" s="33"/>
      <c r="M131" s="189"/>
      <c r="N131" s="190"/>
      <c r="O131" s="190"/>
      <c r="P131" s="190"/>
      <c r="Q131" s="190"/>
      <c r="R131" s="190"/>
      <c r="S131" s="190"/>
      <c r="T131" s="191"/>
      <c r="AT131" s="18" t="s">
        <v>193</v>
      </c>
      <c r="AU131" s="18" t="s">
        <v>20</v>
      </c>
    </row>
    <row r="132" spans="2:65" s="1" customFormat="1" ht="6.95" customHeight="1" x14ac:dyDescent="0.3">
      <c r="B132" s="45"/>
      <c r="C132" s="46"/>
      <c r="D132" s="46"/>
      <c r="E132" s="46"/>
      <c r="F132" s="46"/>
      <c r="G132" s="46"/>
      <c r="H132" s="46"/>
      <c r="I132" s="188"/>
      <c r="J132" s="46"/>
      <c r="K132" s="46"/>
      <c r="L132" s="33"/>
    </row>
  </sheetData>
  <sheetProtection sheet="1" objects="1" scenarios="1"/>
  <autoFilter ref="C119:K135" xr:uid="{80241B89-D52A-44B2-BB55-AEB8C45D511E}"/>
  <mergeCells count="8">
    <mergeCell ref="E48:H48"/>
    <mergeCell ref="E50:H50"/>
    <mergeCell ref="E76:H76"/>
    <mergeCell ref="E78:H78"/>
    <mergeCell ref="L2:V2"/>
    <mergeCell ref="E7:H7"/>
    <mergeCell ref="E9:H9"/>
    <mergeCell ref="E27:H27"/>
  </mergeCells>
  <hyperlinks>
    <hyperlink ref="F90" r:id="rId1" xr:uid="{C3D535A0-116F-462F-8854-5501217E064E}"/>
    <hyperlink ref="F95" r:id="rId2" xr:uid="{509788DD-31E1-4AA8-A05E-9E28F1416A61}"/>
    <hyperlink ref="F99" r:id="rId3" xr:uid="{8C0F8F48-F9B5-48F9-963B-BD2B160CDF36}"/>
    <hyperlink ref="F101" r:id="rId4" xr:uid="{F4037F95-A1EB-4B8D-A60C-90228237A682}"/>
    <hyperlink ref="F105" r:id="rId5" xr:uid="{E8675C99-83B3-4D25-AD4C-3EB80FE547B2}"/>
    <hyperlink ref="F109" r:id="rId6" xr:uid="{BC5B1517-1A68-446D-927B-CE0B5053C341}"/>
    <hyperlink ref="F111" r:id="rId7" xr:uid="{FD50182E-C4B4-479A-A78C-4C7CF3F82F65}"/>
    <hyperlink ref="F114" r:id="rId8" xr:uid="{C1E7366E-A624-41C1-B082-E30C49C4C39C}"/>
    <hyperlink ref="F118" r:id="rId9" xr:uid="{DD7415EF-2248-4D48-A58A-64F537B11AC8}"/>
    <hyperlink ref="F121" r:id="rId10" xr:uid="{54AA681D-18AC-4879-B7A7-DDA47A035D4D}"/>
    <hyperlink ref="F127" r:id="rId11" xr:uid="{54CDA18D-7119-4532-AA19-1D7D0B909C2E}"/>
    <hyperlink ref="F129" r:id="rId12" xr:uid="{5371560E-17CD-4B78-A75B-195D9882ACA1}"/>
    <hyperlink ref="F131" r:id="rId13" xr:uid="{A17CAA83-A664-413D-9671-3FF7F18AA153}"/>
  </hyperlinks>
  <pageMargins left="0.39375001192092896" right="0.39375001192092896" top="0.39375001192092896" bottom="0.39375001192092896" header="0" footer="0"/>
  <pageSetup paperSize="9" fitToHeight="100" orientation="landscape" blackAndWhite="1" errors="blank" r:id="rId14"/>
  <headerFooter>
    <oddFooter>&amp;CStrana &amp;P z &amp;N</oddFooter>
  </headerFooter>
  <drawing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48782-9FDA-411A-A872-5E32700CB320}">
  <sheetPr>
    <tabColor indexed="50"/>
    <pageSetUpPr fitToPage="1"/>
  </sheetPr>
  <dimension ref="B2:BM237"/>
  <sheetViews>
    <sheetView showGridLines="0" zoomScaleNormal="100" workbookViewId="0">
      <selection activeCell="I127" sqref="I127:I237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89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153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154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ROUND(J124, 2)</f>
        <v>2581821.0099999998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ROUND((SUM(BE124:BE236)),  2)</f>
        <v>2581821.0099999998</v>
      </c>
      <c r="I33" s="99">
        <v>0.21</v>
      </c>
      <c r="J33" s="98">
        <f>ROUND(((SUM(BE124:BE236))*I33),  2)</f>
        <v>542182.41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ROUND((SUM(BF124:BF236)),  2)</f>
        <v>0</v>
      </c>
      <c r="I34" s="99">
        <v>0.15</v>
      </c>
      <c r="J34" s="98">
        <f>ROUND(((SUM(BF124:BF236))*I34),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ROUND((SUM(BG124:BG236)),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ROUND((SUM(BH124:BH236)),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ROUND((SUM(BI124:BI236)),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3124003.42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102 - Stavební úprava chodníku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J124</f>
        <v>2581821.0099999998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160</v>
      </c>
      <c r="E97" s="113"/>
      <c r="F97" s="113"/>
      <c r="G97" s="113"/>
      <c r="H97" s="113"/>
      <c r="I97" s="113"/>
      <c r="J97" s="114">
        <f>J125</f>
        <v>2548660.1799999997</v>
      </c>
      <c r="L97" s="111"/>
    </row>
    <row r="98" spans="2:12" s="9" customFormat="1" ht="19.899999999999999" customHeight="1" x14ac:dyDescent="0.3">
      <c r="B98" s="115"/>
      <c r="D98" s="116" t="s">
        <v>161</v>
      </c>
      <c r="E98" s="117"/>
      <c r="F98" s="117"/>
      <c r="G98" s="117"/>
      <c r="H98" s="117"/>
      <c r="I98" s="117"/>
      <c r="J98" s="118">
        <f>J126</f>
        <v>548647.04</v>
      </c>
      <c r="L98" s="115"/>
    </row>
    <row r="99" spans="2:12" s="9" customFormat="1" ht="19.899999999999999" customHeight="1" x14ac:dyDescent="0.3">
      <c r="B99" s="115"/>
      <c r="D99" s="116" t="s">
        <v>162</v>
      </c>
      <c r="E99" s="117"/>
      <c r="F99" s="117"/>
      <c r="G99" s="117"/>
      <c r="H99" s="117"/>
      <c r="I99" s="117"/>
      <c r="J99" s="118">
        <f>J165</f>
        <v>1376022.94</v>
      </c>
      <c r="L99" s="115"/>
    </row>
    <row r="100" spans="2:12" s="9" customFormat="1" ht="19.899999999999999" customHeight="1" x14ac:dyDescent="0.3">
      <c r="B100" s="115"/>
      <c r="D100" s="116" t="s">
        <v>163</v>
      </c>
      <c r="E100" s="117"/>
      <c r="F100" s="117"/>
      <c r="G100" s="117"/>
      <c r="H100" s="117"/>
      <c r="I100" s="117"/>
      <c r="J100" s="118">
        <f>J187</f>
        <v>144198.13</v>
      </c>
      <c r="L100" s="115"/>
    </row>
    <row r="101" spans="2:12" s="9" customFormat="1" ht="19.899999999999999" customHeight="1" x14ac:dyDescent="0.3">
      <c r="B101" s="115"/>
      <c r="D101" s="116" t="s">
        <v>164</v>
      </c>
      <c r="E101" s="117"/>
      <c r="F101" s="117"/>
      <c r="G101" s="117"/>
      <c r="H101" s="117"/>
      <c r="I101" s="117"/>
      <c r="J101" s="118">
        <f>J217</f>
        <v>293787.36</v>
      </c>
      <c r="L101" s="115"/>
    </row>
    <row r="102" spans="2:12" s="9" customFormat="1" ht="19.899999999999999" customHeight="1" x14ac:dyDescent="0.3">
      <c r="B102" s="115"/>
      <c r="D102" s="116" t="s">
        <v>165</v>
      </c>
      <c r="E102" s="117"/>
      <c r="F102" s="117"/>
      <c r="G102" s="117"/>
      <c r="H102" s="117"/>
      <c r="I102" s="117"/>
      <c r="J102" s="118">
        <f>J227</f>
        <v>186004.71</v>
      </c>
      <c r="L102" s="115"/>
    </row>
    <row r="103" spans="2:12" s="8" customFormat="1" ht="24.95" customHeight="1" x14ac:dyDescent="0.3">
      <c r="B103" s="111"/>
      <c r="D103" s="112" t="s">
        <v>166</v>
      </c>
      <c r="E103" s="113"/>
      <c r="F103" s="113"/>
      <c r="G103" s="113"/>
      <c r="H103" s="113"/>
      <c r="I103" s="113"/>
      <c r="J103" s="114">
        <f>J230</f>
        <v>33160.829999999994</v>
      </c>
      <c r="L103" s="111"/>
    </row>
    <row r="104" spans="2:12" s="9" customFormat="1" ht="19.899999999999999" customHeight="1" x14ac:dyDescent="0.3">
      <c r="B104" s="115"/>
      <c r="D104" s="116" t="s">
        <v>167</v>
      </c>
      <c r="E104" s="117"/>
      <c r="F104" s="117"/>
      <c r="G104" s="117"/>
      <c r="H104" s="117"/>
      <c r="I104" s="117"/>
      <c r="J104" s="118">
        <f>J231</f>
        <v>33160.829999999994</v>
      </c>
      <c r="L104" s="115"/>
    </row>
    <row r="105" spans="2:12" s="1" customFormat="1" ht="21.75" customHeight="1" x14ac:dyDescent="0.3">
      <c r="B105" s="33"/>
      <c r="L105" s="33"/>
    </row>
    <row r="106" spans="2:12" s="1" customFormat="1" ht="6.95" customHeight="1" x14ac:dyDescent="0.3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3"/>
    </row>
    <row r="110" spans="2:12" s="1" customFormat="1" ht="6.95" customHeight="1" x14ac:dyDescent="0.3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3"/>
    </row>
    <row r="111" spans="2:12" s="1" customFormat="1" ht="24.95" customHeight="1" x14ac:dyDescent="0.3">
      <c r="B111" s="33"/>
      <c r="C111" s="22" t="s">
        <v>168</v>
      </c>
      <c r="L111" s="33"/>
    </row>
    <row r="112" spans="2:12" s="1" customFormat="1" ht="6.95" customHeight="1" x14ac:dyDescent="0.3">
      <c r="B112" s="33"/>
      <c r="L112" s="33"/>
    </row>
    <row r="113" spans="2:65" s="1" customFormat="1" ht="12" customHeight="1" x14ac:dyDescent="0.3">
      <c r="B113" s="33"/>
      <c r="C113" s="28" t="s">
        <v>15</v>
      </c>
      <c r="L113" s="33"/>
    </row>
    <row r="114" spans="2:65" s="1" customFormat="1" ht="16.5" customHeight="1" x14ac:dyDescent="0.3">
      <c r="B114" s="33"/>
      <c r="E114" s="324" t="str">
        <f>E7</f>
        <v>Obnova ulice Tyršova, Dobrovice - I. etapa</v>
      </c>
      <c r="F114" s="325"/>
      <c r="G114" s="325"/>
      <c r="H114" s="325"/>
      <c r="L114" s="33"/>
    </row>
    <row r="115" spans="2:65" s="1" customFormat="1" ht="12" customHeight="1" x14ac:dyDescent="0.3">
      <c r="B115" s="33"/>
      <c r="C115" s="28" t="s">
        <v>152</v>
      </c>
      <c r="L115" s="33"/>
    </row>
    <row r="116" spans="2:65" s="1" customFormat="1" ht="16.5" customHeight="1" x14ac:dyDescent="0.3">
      <c r="B116" s="33"/>
      <c r="E116" s="308" t="str">
        <f>E9</f>
        <v>SO 102 - Stavební úprava chodníku I. etapa</v>
      </c>
      <c r="F116" s="326"/>
      <c r="G116" s="326"/>
      <c r="H116" s="326"/>
      <c r="L116" s="33"/>
    </row>
    <row r="117" spans="2:65" s="1" customFormat="1" ht="6.95" customHeight="1" x14ac:dyDescent="0.3">
      <c r="B117" s="33"/>
      <c r="L117" s="33"/>
    </row>
    <row r="118" spans="2:65" s="1" customFormat="1" ht="12" customHeight="1" x14ac:dyDescent="0.3">
      <c r="B118" s="33"/>
      <c r="C118" s="28" t="s">
        <v>21</v>
      </c>
      <c r="F118" s="26" t="str">
        <f>F12</f>
        <v>Dobrovice</v>
      </c>
      <c r="I118" s="28" t="s">
        <v>23</v>
      </c>
      <c r="J118" s="53">
        <f>IF(J12="","",J12)</f>
        <v>45678</v>
      </c>
      <c r="L118" s="33"/>
    </row>
    <row r="119" spans="2:65" s="1" customFormat="1" ht="6.95" customHeight="1" x14ac:dyDescent="0.3">
      <c r="B119" s="33"/>
      <c r="L119" s="33"/>
    </row>
    <row r="120" spans="2:65" s="1" customFormat="1" ht="25.7" customHeight="1" x14ac:dyDescent="0.3">
      <c r="B120" s="33"/>
      <c r="C120" s="28" t="s">
        <v>28</v>
      </c>
      <c r="F120" s="26" t="str">
        <f>E15</f>
        <v>Město Dobrovice, Palckého nám. 28, 294 41</v>
      </c>
      <c r="I120" s="28" t="s">
        <v>34</v>
      </c>
      <c r="J120" s="96" t="str">
        <f>E21</f>
        <v>Ing. arch. Martin Jirovský Ph.D., MBA</v>
      </c>
      <c r="L120" s="33"/>
    </row>
    <row r="121" spans="2:65" s="1" customFormat="1" ht="40.15" customHeight="1" x14ac:dyDescent="0.3">
      <c r="B121" s="33"/>
      <c r="C121" s="28" t="s">
        <v>33</v>
      </c>
      <c r="F121" s="26">
        <f>IF(E18="","",E18)</f>
        <v>0</v>
      </c>
      <c r="I121" s="28" t="s">
        <v>38</v>
      </c>
      <c r="J121" s="96" t="str">
        <f>E24</f>
        <v>ROAD M.A.A.T. s.r.o., Petra Stejskalová</v>
      </c>
      <c r="L121" s="33"/>
    </row>
    <row r="122" spans="2:65" s="1" customFormat="1" ht="10.35" customHeight="1" x14ac:dyDescent="0.3">
      <c r="B122" s="33"/>
      <c r="L122" s="33"/>
    </row>
    <row r="123" spans="2:65" s="10" customFormat="1" ht="29.25" customHeight="1" x14ac:dyDescent="0.3">
      <c r="B123" s="119"/>
      <c r="C123" s="120" t="s">
        <v>169</v>
      </c>
      <c r="D123" s="121" t="s">
        <v>66</v>
      </c>
      <c r="E123" s="121" t="s">
        <v>63</v>
      </c>
      <c r="F123" s="121" t="s">
        <v>170</v>
      </c>
      <c r="G123" s="121" t="s">
        <v>171</v>
      </c>
      <c r="H123" s="121" t="s">
        <v>172</v>
      </c>
      <c r="I123" s="121" t="s">
        <v>173</v>
      </c>
      <c r="J123" s="121" t="s">
        <v>157</v>
      </c>
      <c r="K123" s="122" t="s">
        <v>174</v>
      </c>
      <c r="L123" s="119"/>
      <c r="M123" s="60" t="s">
        <v>1</v>
      </c>
      <c r="N123" s="61" t="s">
        <v>46</v>
      </c>
      <c r="O123" s="61" t="s">
        <v>175</v>
      </c>
      <c r="P123" s="61" t="s">
        <v>176</v>
      </c>
      <c r="Q123" s="61" t="s">
        <v>177</v>
      </c>
      <c r="R123" s="61" t="s">
        <v>178</v>
      </c>
      <c r="S123" s="61" t="s">
        <v>179</v>
      </c>
      <c r="T123" s="62" t="s">
        <v>180</v>
      </c>
    </row>
    <row r="124" spans="2:65" s="1" customFormat="1" ht="22.9" customHeight="1" x14ac:dyDescent="0.25">
      <c r="B124" s="33"/>
      <c r="C124" s="65" t="s">
        <v>181</v>
      </c>
      <c r="J124" s="123">
        <f>BK124</f>
        <v>2581821.0099999998</v>
      </c>
      <c r="L124" s="33"/>
      <c r="M124" s="63"/>
      <c r="N124" s="54"/>
      <c r="O124" s="54"/>
      <c r="P124" s="124">
        <f>P125+P230</f>
        <v>2386.8944049999996</v>
      </c>
      <c r="Q124" s="54"/>
      <c r="R124" s="124">
        <f>R125+R230</f>
        <v>609.03511140000001</v>
      </c>
      <c r="S124" s="54"/>
      <c r="T124" s="125">
        <f>T125+T230</f>
        <v>570.95900000000006</v>
      </c>
      <c r="AT124" s="18" t="s">
        <v>80</v>
      </c>
      <c r="AU124" s="18" t="s">
        <v>159</v>
      </c>
      <c r="BK124" s="126">
        <f>BK125+BK230</f>
        <v>2581821.0099999998</v>
      </c>
    </row>
    <row r="125" spans="2:65" s="11" customFormat="1" ht="25.9" customHeight="1" x14ac:dyDescent="0.2">
      <c r="B125" s="127"/>
      <c r="D125" s="128" t="s">
        <v>80</v>
      </c>
      <c r="E125" s="129" t="s">
        <v>182</v>
      </c>
      <c r="F125" s="129" t="s">
        <v>183</v>
      </c>
      <c r="J125" s="130">
        <f>BK125</f>
        <v>2548660.1799999997</v>
      </c>
      <c r="L125" s="127"/>
      <c r="M125" s="131"/>
      <c r="P125" s="132">
        <f>P126+P165+P187+P217+P227</f>
        <v>2367.9828989999996</v>
      </c>
      <c r="R125" s="132">
        <f>R126+R165+R187+R217+R227</f>
        <v>608.97342500000002</v>
      </c>
      <c r="T125" s="133">
        <f>T126+T165+T187+T217+T227</f>
        <v>570.95900000000006</v>
      </c>
      <c r="AR125" s="128" t="s">
        <v>88</v>
      </c>
      <c r="AT125" s="134" t="s">
        <v>80</v>
      </c>
      <c r="AU125" s="134" t="s">
        <v>81</v>
      </c>
      <c r="AY125" s="128" t="s">
        <v>184</v>
      </c>
      <c r="BK125" s="135">
        <f>BK126+BK165+BK187+BK217+BK227</f>
        <v>2548660.1799999997</v>
      </c>
    </row>
    <row r="126" spans="2:65" s="11" customFormat="1" ht="22.9" customHeight="1" x14ac:dyDescent="0.2">
      <c r="B126" s="127"/>
      <c r="D126" s="128" t="s">
        <v>80</v>
      </c>
      <c r="E126" s="136" t="s">
        <v>88</v>
      </c>
      <c r="F126" s="136" t="s">
        <v>185</v>
      </c>
      <c r="J126" s="137">
        <f>BK126</f>
        <v>548647.04</v>
      </c>
      <c r="L126" s="127"/>
      <c r="M126" s="131"/>
      <c r="P126" s="132">
        <f>SUM(P127:P164)</f>
        <v>708.82236000000012</v>
      </c>
      <c r="R126" s="132">
        <f>SUM(R127:R164)</f>
        <v>0</v>
      </c>
      <c r="T126" s="133">
        <f>SUM(T127:T164)</f>
        <v>570.95900000000006</v>
      </c>
      <c r="AR126" s="128" t="s">
        <v>88</v>
      </c>
      <c r="AT126" s="134" t="s">
        <v>80</v>
      </c>
      <c r="AU126" s="134" t="s">
        <v>88</v>
      </c>
      <c r="AY126" s="128" t="s">
        <v>184</v>
      </c>
      <c r="BK126" s="135">
        <f>SUM(BK127:BK164)</f>
        <v>548647.04</v>
      </c>
    </row>
    <row r="127" spans="2:65" s="1" customFormat="1" ht="16.5" customHeight="1" x14ac:dyDescent="0.3">
      <c r="B127" s="33"/>
      <c r="C127" s="138" t="s">
        <v>88</v>
      </c>
      <c r="D127" s="138" t="s">
        <v>186</v>
      </c>
      <c r="E127" s="139" t="s">
        <v>187</v>
      </c>
      <c r="F127" s="140" t="s">
        <v>188</v>
      </c>
      <c r="G127" s="141" t="s">
        <v>189</v>
      </c>
      <c r="H127" s="142">
        <v>7</v>
      </c>
      <c r="I127" s="143">
        <v>183.26</v>
      </c>
      <c r="J127" s="144">
        <f>ROUND(I127*H127,2)</f>
        <v>1282.82</v>
      </c>
      <c r="K127" s="140" t="s">
        <v>190</v>
      </c>
      <c r="L127" s="33"/>
      <c r="M127" s="145" t="s">
        <v>1</v>
      </c>
      <c r="N127" s="146" t="s">
        <v>47</v>
      </c>
      <c r="O127" s="147">
        <v>0.27200000000000002</v>
      </c>
      <c r="P127" s="147">
        <f>O127*H127</f>
        <v>1.9040000000000001</v>
      </c>
      <c r="Q127" s="147">
        <v>0</v>
      </c>
      <c r="R127" s="147">
        <f>Q127*H127</f>
        <v>0</v>
      </c>
      <c r="S127" s="147">
        <v>0.26</v>
      </c>
      <c r="T127" s="148">
        <f>S127*H127</f>
        <v>1.82</v>
      </c>
      <c r="AR127" s="149" t="s">
        <v>191</v>
      </c>
      <c r="AT127" s="149" t="s">
        <v>186</v>
      </c>
      <c r="AU127" s="149" t="s">
        <v>20</v>
      </c>
      <c r="AY127" s="18" t="s">
        <v>184</v>
      </c>
      <c r="BE127" s="150">
        <f>IF(N127="základní",J127,0)</f>
        <v>1282.82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8" t="s">
        <v>88</v>
      </c>
      <c r="BK127" s="150">
        <f>ROUND(I127*H127,2)</f>
        <v>1282.82</v>
      </c>
      <c r="BL127" s="18" t="s">
        <v>191</v>
      </c>
      <c r="BM127" s="149" t="s">
        <v>192</v>
      </c>
    </row>
    <row r="128" spans="2:65" s="1" customFormat="1" x14ac:dyDescent="0.3">
      <c r="B128" s="33"/>
      <c r="D128" s="151" t="s">
        <v>193</v>
      </c>
      <c r="F128" s="152" t="s">
        <v>194</v>
      </c>
      <c r="I128" s="153"/>
      <c r="L128" s="33"/>
      <c r="M128" s="154"/>
      <c r="T128" s="57"/>
      <c r="AT128" s="18" t="s">
        <v>193</v>
      </c>
      <c r="AU128" s="18" t="s">
        <v>20</v>
      </c>
    </row>
    <row r="129" spans="2:65" s="12" customFormat="1" ht="11.25" x14ac:dyDescent="0.3">
      <c r="B129" s="155"/>
      <c r="D129" s="156" t="s">
        <v>195</v>
      </c>
      <c r="E129" s="157" t="s">
        <v>1</v>
      </c>
      <c r="F129" s="158" t="s">
        <v>196</v>
      </c>
      <c r="H129" s="159">
        <v>7</v>
      </c>
      <c r="I129" s="160"/>
      <c r="L129" s="155"/>
      <c r="M129" s="161"/>
      <c r="T129" s="162"/>
      <c r="AT129" s="157" t="s">
        <v>195</v>
      </c>
      <c r="AU129" s="157" t="s">
        <v>20</v>
      </c>
      <c r="AV129" s="12" t="s">
        <v>20</v>
      </c>
      <c r="AW129" s="12" t="s">
        <v>37</v>
      </c>
      <c r="AX129" s="12" t="s">
        <v>88</v>
      </c>
      <c r="AY129" s="157" t="s">
        <v>184</v>
      </c>
    </row>
    <row r="130" spans="2:65" s="1" customFormat="1" ht="21.75" customHeight="1" x14ac:dyDescent="0.3">
      <c r="B130" s="33"/>
      <c r="C130" s="138" t="s">
        <v>20</v>
      </c>
      <c r="D130" s="138" t="s">
        <v>186</v>
      </c>
      <c r="E130" s="139" t="s">
        <v>197</v>
      </c>
      <c r="F130" s="140" t="s">
        <v>198</v>
      </c>
      <c r="G130" s="141" t="s">
        <v>189</v>
      </c>
      <c r="H130" s="142">
        <v>678.2</v>
      </c>
      <c r="I130" s="143">
        <v>45.82</v>
      </c>
      <c r="J130" s="144">
        <f>ROUND(I130*H130,2)</f>
        <v>31075.119999999999</v>
      </c>
      <c r="K130" s="140" t="s">
        <v>190</v>
      </c>
      <c r="L130" s="33"/>
      <c r="M130" s="145" t="s">
        <v>1</v>
      </c>
      <c r="N130" s="146" t="s">
        <v>47</v>
      </c>
      <c r="O130" s="147">
        <v>0.02</v>
      </c>
      <c r="P130" s="147">
        <f>O130*H130</f>
        <v>13.564000000000002</v>
      </c>
      <c r="Q130" s="147">
        <v>0</v>
      </c>
      <c r="R130" s="147">
        <f>Q130*H130</f>
        <v>0</v>
      </c>
      <c r="S130" s="147">
        <v>0.255</v>
      </c>
      <c r="T130" s="148">
        <f>S130*H130</f>
        <v>172.941</v>
      </c>
      <c r="AR130" s="149" t="s">
        <v>191</v>
      </c>
      <c r="AT130" s="149" t="s">
        <v>186</v>
      </c>
      <c r="AU130" s="149" t="s">
        <v>20</v>
      </c>
      <c r="AY130" s="18" t="s">
        <v>184</v>
      </c>
      <c r="BE130" s="150">
        <f>IF(N130="základní",J130,0)</f>
        <v>31075.119999999999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8" t="s">
        <v>88</v>
      </c>
      <c r="BK130" s="150">
        <f>ROUND(I130*H130,2)</f>
        <v>31075.119999999999</v>
      </c>
      <c r="BL130" s="18" t="s">
        <v>191</v>
      </c>
      <c r="BM130" s="149" t="s">
        <v>199</v>
      </c>
    </row>
    <row r="131" spans="2:65" s="1" customFormat="1" x14ac:dyDescent="0.3">
      <c r="B131" s="33"/>
      <c r="D131" s="151" t="s">
        <v>193</v>
      </c>
      <c r="F131" s="152" t="s">
        <v>200</v>
      </c>
      <c r="I131" s="153"/>
      <c r="L131" s="33"/>
      <c r="M131" s="154"/>
      <c r="T131" s="57"/>
      <c r="AT131" s="18" t="s">
        <v>193</v>
      </c>
      <c r="AU131" s="18" t="s">
        <v>20</v>
      </c>
    </row>
    <row r="132" spans="2:65" s="12" customFormat="1" ht="11.25" x14ac:dyDescent="0.3">
      <c r="B132" s="155"/>
      <c r="D132" s="156" t="s">
        <v>195</v>
      </c>
      <c r="E132" s="157" t="s">
        <v>1</v>
      </c>
      <c r="F132" s="158" t="s">
        <v>201</v>
      </c>
      <c r="H132" s="159">
        <v>678.2</v>
      </c>
      <c r="I132" s="160"/>
      <c r="L132" s="155"/>
      <c r="M132" s="161"/>
      <c r="T132" s="162"/>
      <c r="AT132" s="157" t="s">
        <v>195</v>
      </c>
      <c r="AU132" s="157" t="s">
        <v>20</v>
      </c>
      <c r="AV132" s="12" t="s">
        <v>20</v>
      </c>
      <c r="AW132" s="12" t="s">
        <v>37</v>
      </c>
      <c r="AX132" s="12" t="s">
        <v>88</v>
      </c>
      <c r="AY132" s="157" t="s">
        <v>184</v>
      </c>
    </row>
    <row r="133" spans="2:65" s="1" customFormat="1" ht="16.5" customHeight="1" x14ac:dyDescent="0.3">
      <c r="B133" s="33"/>
      <c r="C133" s="138" t="s">
        <v>202</v>
      </c>
      <c r="D133" s="138" t="s">
        <v>186</v>
      </c>
      <c r="E133" s="139" t="s">
        <v>203</v>
      </c>
      <c r="F133" s="140" t="s">
        <v>204</v>
      </c>
      <c r="G133" s="141" t="s">
        <v>189</v>
      </c>
      <c r="H133" s="142">
        <v>685.2</v>
      </c>
      <c r="I133" s="143">
        <v>137.44999999999999</v>
      </c>
      <c r="J133" s="144">
        <f>ROUND(I133*H133,2)</f>
        <v>94180.74</v>
      </c>
      <c r="K133" s="140" t="s">
        <v>190</v>
      </c>
      <c r="L133" s="33"/>
      <c r="M133" s="145" t="s">
        <v>1</v>
      </c>
      <c r="N133" s="146" t="s">
        <v>47</v>
      </c>
      <c r="O133" s="147">
        <v>0.11899999999999999</v>
      </c>
      <c r="P133" s="147">
        <f>O133*H133</f>
        <v>81.538799999999995</v>
      </c>
      <c r="Q133" s="147">
        <v>0</v>
      </c>
      <c r="R133" s="147">
        <f>Q133*H133</f>
        <v>0</v>
      </c>
      <c r="S133" s="147">
        <v>0.44</v>
      </c>
      <c r="T133" s="148">
        <f>S133*H133</f>
        <v>301.488</v>
      </c>
      <c r="AR133" s="149" t="s">
        <v>191</v>
      </c>
      <c r="AT133" s="149" t="s">
        <v>186</v>
      </c>
      <c r="AU133" s="149" t="s">
        <v>20</v>
      </c>
      <c r="AY133" s="18" t="s">
        <v>184</v>
      </c>
      <c r="BE133" s="150">
        <f>IF(N133="základní",J133,0)</f>
        <v>94180.74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8" t="s">
        <v>88</v>
      </c>
      <c r="BK133" s="150">
        <f>ROUND(I133*H133,2)</f>
        <v>94180.74</v>
      </c>
      <c r="BL133" s="18" t="s">
        <v>191</v>
      </c>
      <c r="BM133" s="149" t="s">
        <v>205</v>
      </c>
    </row>
    <row r="134" spans="2:65" s="1" customFormat="1" x14ac:dyDescent="0.3">
      <c r="B134" s="33"/>
      <c r="D134" s="151" t="s">
        <v>193</v>
      </c>
      <c r="F134" s="152" t="s">
        <v>206</v>
      </c>
      <c r="I134" s="153"/>
      <c r="L134" s="33"/>
      <c r="M134" s="154"/>
      <c r="T134" s="57"/>
      <c r="AT134" s="18" t="s">
        <v>193</v>
      </c>
      <c r="AU134" s="18" t="s">
        <v>20</v>
      </c>
    </row>
    <row r="135" spans="2:65" s="12" customFormat="1" ht="11.25" x14ac:dyDescent="0.3">
      <c r="B135" s="155"/>
      <c r="D135" s="156" t="s">
        <v>195</v>
      </c>
      <c r="E135" s="157" t="s">
        <v>1</v>
      </c>
      <c r="F135" s="158" t="s">
        <v>207</v>
      </c>
      <c r="H135" s="159">
        <v>685.2</v>
      </c>
      <c r="I135" s="160"/>
      <c r="L135" s="155"/>
      <c r="M135" s="161"/>
      <c r="T135" s="162"/>
      <c r="AT135" s="157" t="s">
        <v>195</v>
      </c>
      <c r="AU135" s="157" t="s">
        <v>20</v>
      </c>
      <c r="AV135" s="12" t="s">
        <v>20</v>
      </c>
      <c r="AW135" s="12" t="s">
        <v>37</v>
      </c>
      <c r="AX135" s="12" t="s">
        <v>88</v>
      </c>
      <c r="AY135" s="157" t="s">
        <v>184</v>
      </c>
    </row>
    <row r="136" spans="2:65" s="1" customFormat="1" ht="16.5" customHeight="1" x14ac:dyDescent="0.3">
      <c r="B136" s="33"/>
      <c r="C136" s="138" t="s">
        <v>191</v>
      </c>
      <c r="D136" s="138" t="s">
        <v>186</v>
      </c>
      <c r="E136" s="139" t="s">
        <v>208</v>
      </c>
      <c r="F136" s="140" t="s">
        <v>209</v>
      </c>
      <c r="G136" s="141" t="s">
        <v>210</v>
      </c>
      <c r="H136" s="142">
        <v>462</v>
      </c>
      <c r="I136" s="143">
        <v>152.72</v>
      </c>
      <c r="J136" s="144">
        <f>ROUND(I136*H136,2)</f>
        <v>70556.639999999999</v>
      </c>
      <c r="K136" s="140" t="s">
        <v>190</v>
      </c>
      <c r="L136" s="33"/>
      <c r="M136" s="145" t="s">
        <v>1</v>
      </c>
      <c r="N136" s="146" t="s">
        <v>47</v>
      </c>
      <c r="O136" s="147">
        <v>0.13300000000000001</v>
      </c>
      <c r="P136" s="147">
        <f>O136*H136</f>
        <v>61.446000000000005</v>
      </c>
      <c r="Q136" s="147">
        <v>0</v>
      </c>
      <c r="R136" s="147">
        <f>Q136*H136</f>
        <v>0</v>
      </c>
      <c r="S136" s="147">
        <v>0.20499999999999999</v>
      </c>
      <c r="T136" s="148">
        <f>S136*H136</f>
        <v>94.71</v>
      </c>
      <c r="AR136" s="149" t="s">
        <v>191</v>
      </c>
      <c r="AT136" s="149" t="s">
        <v>186</v>
      </c>
      <c r="AU136" s="149" t="s">
        <v>20</v>
      </c>
      <c r="AY136" s="18" t="s">
        <v>184</v>
      </c>
      <c r="BE136" s="150">
        <f>IF(N136="základní",J136,0)</f>
        <v>70556.639999999999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8" t="s">
        <v>88</v>
      </c>
      <c r="BK136" s="150">
        <f>ROUND(I136*H136,2)</f>
        <v>70556.639999999999</v>
      </c>
      <c r="BL136" s="18" t="s">
        <v>191</v>
      </c>
      <c r="BM136" s="149" t="s">
        <v>211</v>
      </c>
    </row>
    <row r="137" spans="2:65" s="1" customFormat="1" x14ac:dyDescent="0.3">
      <c r="B137" s="33"/>
      <c r="D137" s="151" t="s">
        <v>193</v>
      </c>
      <c r="F137" s="152" t="s">
        <v>212</v>
      </c>
      <c r="I137" s="153"/>
      <c r="L137" s="33"/>
      <c r="M137" s="154"/>
      <c r="T137" s="57"/>
      <c r="AT137" s="18" t="s">
        <v>193</v>
      </c>
      <c r="AU137" s="18" t="s">
        <v>20</v>
      </c>
    </row>
    <row r="138" spans="2:65" s="12" customFormat="1" ht="11.25" x14ac:dyDescent="0.3">
      <c r="B138" s="155"/>
      <c r="D138" s="156" t="s">
        <v>195</v>
      </c>
      <c r="E138" s="157" t="s">
        <v>1</v>
      </c>
      <c r="F138" s="158" t="s">
        <v>213</v>
      </c>
      <c r="H138" s="159">
        <v>462</v>
      </c>
      <c r="I138" s="160"/>
      <c r="L138" s="155"/>
      <c r="M138" s="161"/>
      <c r="T138" s="162"/>
      <c r="AT138" s="157" t="s">
        <v>195</v>
      </c>
      <c r="AU138" s="157" t="s">
        <v>20</v>
      </c>
      <c r="AV138" s="12" t="s">
        <v>20</v>
      </c>
      <c r="AW138" s="12" t="s">
        <v>37</v>
      </c>
      <c r="AX138" s="12" t="s">
        <v>88</v>
      </c>
      <c r="AY138" s="157" t="s">
        <v>184</v>
      </c>
    </row>
    <row r="139" spans="2:65" s="1" customFormat="1" ht="21.75" customHeight="1" x14ac:dyDescent="0.3">
      <c r="B139" s="33"/>
      <c r="C139" s="138" t="s">
        <v>214</v>
      </c>
      <c r="D139" s="138" t="s">
        <v>186</v>
      </c>
      <c r="E139" s="139" t="s">
        <v>215</v>
      </c>
      <c r="F139" s="140" t="s">
        <v>216</v>
      </c>
      <c r="G139" s="141" t="s">
        <v>217</v>
      </c>
      <c r="H139" s="142">
        <v>206.46</v>
      </c>
      <c r="I139" s="143">
        <v>190.9</v>
      </c>
      <c r="J139" s="144">
        <f>ROUND(I139*H139,2)</f>
        <v>39413.21</v>
      </c>
      <c r="K139" s="140" t="s">
        <v>190</v>
      </c>
      <c r="L139" s="33"/>
      <c r="M139" s="145" t="s">
        <v>1</v>
      </c>
      <c r="N139" s="146" t="s">
        <v>47</v>
      </c>
      <c r="O139" s="147">
        <v>0.14000000000000001</v>
      </c>
      <c r="P139" s="147">
        <f>O139*H139</f>
        <v>28.904400000000003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AR139" s="149" t="s">
        <v>191</v>
      </c>
      <c r="AT139" s="149" t="s">
        <v>186</v>
      </c>
      <c r="AU139" s="149" t="s">
        <v>20</v>
      </c>
      <c r="AY139" s="18" t="s">
        <v>184</v>
      </c>
      <c r="BE139" s="150">
        <f>IF(N139="základní",J139,0)</f>
        <v>39413.21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8" t="s">
        <v>88</v>
      </c>
      <c r="BK139" s="150">
        <f>ROUND(I139*H139,2)</f>
        <v>39413.21</v>
      </c>
      <c r="BL139" s="18" t="s">
        <v>191</v>
      </c>
      <c r="BM139" s="149" t="s">
        <v>218</v>
      </c>
    </row>
    <row r="140" spans="2:65" s="1" customFormat="1" x14ac:dyDescent="0.3">
      <c r="B140" s="33"/>
      <c r="D140" s="151" t="s">
        <v>193</v>
      </c>
      <c r="F140" s="152" t="s">
        <v>219</v>
      </c>
      <c r="I140" s="153"/>
      <c r="L140" s="33"/>
      <c r="M140" s="154"/>
      <c r="T140" s="57"/>
      <c r="AT140" s="18" t="s">
        <v>193</v>
      </c>
      <c r="AU140" s="18" t="s">
        <v>20</v>
      </c>
    </row>
    <row r="141" spans="2:65" s="12" customFormat="1" ht="11.25" x14ac:dyDescent="0.3">
      <c r="B141" s="155"/>
      <c r="D141" s="156" t="s">
        <v>195</v>
      </c>
      <c r="E141" s="157" t="s">
        <v>1</v>
      </c>
      <c r="F141" s="158" t="s">
        <v>220</v>
      </c>
      <c r="H141" s="159">
        <v>206.46</v>
      </c>
      <c r="I141" s="160"/>
      <c r="L141" s="155"/>
      <c r="M141" s="161"/>
      <c r="T141" s="162"/>
      <c r="AT141" s="157" t="s">
        <v>195</v>
      </c>
      <c r="AU141" s="157" t="s">
        <v>20</v>
      </c>
      <c r="AV141" s="12" t="s">
        <v>20</v>
      </c>
      <c r="AW141" s="12" t="s">
        <v>37</v>
      </c>
      <c r="AX141" s="12" t="s">
        <v>88</v>
      </c>
      <c r="AY141" s="157" t="s">
        <v>184</v>
      </c>
    </row>
    <row r="142" spans="2:65" s="1" customFormat="1" ht="16.5" customHeight="1" x14ac:dyDescent="0.3">
      <c r="B142" s="33"/>
      <c r="C142" s="138" t="s">
        <v>221</v>
      </c>
      <c r="D142" s="138" t="s">
        <v>186</v>
      </c>
      <c r="E142" s="139" t="s">
        <v>222</v>
      </c>
      <c r="F142" s="140" t="s">
        <v>223</v>
      </c>
      <c r="G142" s="141" t="s">
        <v>217</v>
      </c>
      <c r="H142" s="142">
        <v>308.5</v>
      </c>
      <c r="I142" s="143">
        <v>474.03</v>
      </c>
      <c r="J142" s="144">
        <f>ROUND(I142*H142,2)</f>
        <v>146238.26</v>
      </c>
      <c r="K142" s="140" t="s">
        <v>190</v>
      </c>
      <c r="L142" s="33"/>
      <c r="M142" s="145" t="s">
        <v>1</v>
      </c>
      <c r="N142" s="146" t="s">
        <v>47</v>
      </c>
      <c r="O142" s="147">
        <v>1.548</v>
      </c>
      <c r="P142" s="147">
        <f>O142*H142</f>
        <v>477.55799999999999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AR142" s="149" t="s">
        <v>191</v>
      </c>
      <c r="AT142" s="149" t="s">
        <v>186</v>
      </c>
      <c r="AU142" s="149" t="s">
        <v>20</v>
      </c>
      <c r="AY142" s="18" t="s">
        <v>184</v>
      </c>
      <c r="BE142" s="150">
        <f>IF(N142="základní",J142,0)</f>
        <v>146238.26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8" t="s">
        <v>88</v>
      </c>
      <c r="BK142" s="150">
        <f>ROUND(I142*H142,2)</f>
        <v>146238.26</v>
      </c>
      <c r="BL142" s="18" t="s">
        <v>191</v>
      </c>
      <c r="BM142" s="149" t="s">
        <v>224</v>
      </c>
    </row>
    <row r="143" spans="2:65" s="1" customFormat="1" x14ac:dyDescent="0.3">
      <c r="B143" s="33"/>
      <c r="D143" s="151" t="s">
        <v>193</v>
      </c>
      <c r="F143" s="152" t="s">
        <v>225</v>
      </c>
      <c r="I143" s="153"/>
      <c r="L143" s="33"/>
      <c r="M143" s="154"/>
      <c r="T143" s="57"/>
      <c r="AT143" s="18" t="s">
        <v>193</v>
      </c>
      <c r="AU143" s="18" t="s">
        <v>20</v>
      </c>
    </row>
    <row r="144" spans="2:65" s="12" customFormat="1" ht="11.25" x14ac:dyDescent="0.3">
      <c r="B144" s="155"/>
      <c r="D144" s="156" t="s">
        <v>195</v>
      </c>
      <c r="E144" s="157" t="s">
        <v>1</v>
      </c>
      <c r="F144" s="158" t="s">
        <v>226</v>
      </c>
      <c r="H144" s="159">
        <v>8</v>
      </c>
      <c r="I144" s="160"/>
      <c r="L144" s="155"/>
      <c r="M144" s="161"/>
      <c r="T144" s="162"/>
      <c r="AT144" s="157" t="s">
        <v>195</v>
      </c>
      <c r="AU144" s="157" t="s">
        <v>20</v>
      </c>
      <c r="AV144" s="12" t="s">
        <v>20</v>
      </c>
      <c r="AW144" s="12" t="s">
        <v>37</v>
      </c>
      <c r="AX144" s="12" t="s">
        <v>81</v>
      </c>
      <c r="AY144" s="157" t="s">
        <v>184</v>
      </c>
    </row>
    <row r="145" spans="2:65" s="12" customFormat="1" ht="11.25" x14ac:dyDescent="0.3">
      <c r="B145" s="155"/>
      <c r="D145" s="156" t="s">
        <v>195</v>
      </c>
      <c r="E145" s="157" t="s">
        <v>1</v>
      </c>
      <c r="F145" s="158" t="s">
        <v>227</v>
      </c>
      <c r="H145" s="159">
        <v>97.5</v>
      </c>
      <c r="I145" s="160"/>
      <c r="L145" s="155"/>
      <c r="M145" s="161"/>
      <c r="T145" s="162"/>
      <c r="AT145" s="157" t="s">
        <v>195</v>
      </c>
      <c r="AU145" s="157" t="s">
        <v>20</v>
      </c>
      <c r="AV145" s="12" t="s">
        <v>20</v>
      </c>
      <c r="AW145" s="12" t="s">
        <v>37</v>
      </c>
      <c r="AX145" s="12" t="s">
        <v>81</v>
      </c>
      <c r="AY145" s="157" t="s">
        <v>184</v>
      </c>
    </row>
    <row r="146" spans="2:65" s="12" customFormat="1" ht="11.25" x14ac:dyDescent="0.3">
      <c r="B146" s="155"/>
      <c r="D146" s="156" t="s">
        <v>195</v>
      </c>
      <c r="E146" s="157" t="s">
        <v>1</v>
      </c>
      <c r="F146" s="158" t="s">
        <v>228</v>
      </c>
      <c r="H146" s="159">
        <v>103</v>
      </c>
      <c r="I146" s="160"/>
      <c r="L146" s="155"/>
      <c r="M146" s="161"/>
      <c r="T146" s="162"/>
      <c r="AT146" s="157" t="s">
        <v>195</v>
      </c>
      <c r="AU146" s="157" t="s">
        <v>20</v>
      </c>
      <c r="AV146" s="12" t="s">
        <v>20</v>
      </c>
      <c r="AW146" s="12" t="s">
        <v>37</v>
      </c>
      <c r="AX146" s="12" t="s">
        <v>81</v>
      </c>
      <c r="AY146" s="157" t="s">
        <v>184</v>
      </c>
    </row>
    <row r="147" spans="2:65" s="12" customFormat="1" ht="11.25" x14ac:dyDescent="0.3">
      <c r="B147" s="155"/>
      <c r="D147" s="156" t="s">
        <v>195</v>
      </c>
      <c r="E147" s="157" t="s">
        <v>1</v>
      </c>
      <c r="F147" s="158" t="s">
        <v>229</v>
      </c>
      <c r="H147" s="159">
        <v>100</v>
      </c>
      <c r="I147" s="160"/>
      <c r="L147" s="155"/>
      <c r="M147" s="161"/>
      <c r="T147" s="162"/>
      <c r="AT147" s="157" t="s">
        <v>195</v>
      </c>
      <c r="AU147" s="157" t="s">
        <v>20</v>
      </c>
      <c r="AV147" s="12" t="s">
        <v>20</v>
      </c>
      <c r="AW147" s="12" t="s">
        <v>37</v>
      </c>
      <c r="AX147" s="12" t="s">
        <v>81</v>
      </c>
      <c r="AY147" s="157" t="s">
        <v>184</v>
      </c>
    </row>
    <row r="148" spans="2:65" s="13" customFormat="1" ht="11.25" x14ac:dyDescent="0.3">
      <c r="B148" s="163"/>
      <c r="D148" s="156" t="s">
        <v>195</v>
      </c>
      <c r="E148" s="164" t="s">
        <v>1</v>
      </c>
      <c r="F148" s="165" t="s">
        <v>230</v>
      </c>
      <c r="H148" s="166">
        <v>308.5</v>
      </c>
      <c r="I148" s="167"/>
      <c r="L148" s="163"/>
      <c r="M148" s="168"/>
      <c r="T148" s="169"/>
      <c r="AT148" s="164" t="s">
        <v>195</v>
      </c>
      <c r="AU148" s="164" t="s">
        <v>20</v>
      </c>
      <c r="AV148" s="13" t="s">
        <v>191</v>
      </c>
      <c r="AW148" s="13" t="s">
        <v>37</v>
      </c>
      <c r="AX148" s="13" t="s">
        <v>88</v>
      </c>
      <c r="AY148" s="164" t="s">
        <v>184</v>
      </c>
    </row>
    <row r="149" spans="2:65" s="1" customFormat="1" ht="21.75" customHeight="1" x14ac:dyDescent="0.3">
      <c r="B149" s="33"/>
      <c r="C149" s="138" t="s">
        <v>231</v>
      </c>
      <c r="D149" s="138" t="s">
        <v>186</v>
      </c>
      <c r="E149" s="139" t="s">
        <v>232</v>
      </c>
      <c r="F149" s="140" t="s">
        <v>233</v>
      </c>
      <c r="G149" s="141" t="s">
        <v>217</v>
      </c>
      <c r="H149" s="142">
        <v>206.46</v>
      </c>
      <c r="I149" s="143">
        <v>103.82</v>
      </c>
      <c r="J149" s="144">
        <f>ROUND(I149*H149,2)</f>
        <v>21434.68</v>
      </c>
      <c r="K149" s="140" t="s">
        <v>190</v>
      </c>
      <c r="L149" s="33"/>
      <c r="M149" s="145" t="s">
        <v>1</v>
      </c>
      <c r="N149" s="146" t="s">
        <v>47</v>
      </c>
      <c r="O149" s="147">
        <v>8.6999999999999994E-2</v>
      </c>
      <c r="P149" s="147">
        <f>O149*H149</f>
        <v>17.962019999999999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191</v>
      </c>
      <c r="AT149" s="149" t="s">
        <v>186</v>
      </c>
      <c r="AU149" s="149" t="s">
        <v>20</v>
      </c>
      <c r="AY149" s="18" t="s">
        <v>184</v>
      </c>
      <c r="BE149" s="150">
        <f>IF(N149="základní",J149,0)</f>
        <v>21434.68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8" t="s">
        <v>88</v>
      </c>
      <c r="BK149" s="150">
        <f>ROUND(I149*H149,2)</f>
        <v>21434.68</v>
      </c>
      <c r="BL149" s="18" t="s">
        <v>191</v>
      </c>
      <c r="BM149" s="149" t="s">
        <v>234</v>
      </c>
    </row>
    <row r="150" spans="2:65" s="1" customFormat="1" x14ac:dyDescent="0.3">
      <c r="B150" s="33"/>
      <c r="D150" s="151" t="s">
        <v>193</v>
      </c>
      <c r="F150" s="152" t="s">
        <v>235</v>
      </c>
      <c r="I150" s="153"/>
      <c r="L150" s="33"/>
      <c r="M150" s="154"/>
      <c r="T150" s="57"/>
      <c r="AT150" s="18" t="s">
        <v>193</v>
      </c>
      <c r="AU150" s="18" t="s">
        <v>20</v>
      </c>
    </row>
    <row r="151" spans="2:65" s="1" customFormat="1" ht="19.5" x14ac:dyDescent="0.3">
      <c r="B151" s="33"/>
      <c r="D151" s="156" t="s">
        <v>236</v>
      </c>
      <c r="F151" s="170" t="s">
        <v>237</v>
      </c>
      <c r="I151" s="153"/>
      <c r="L151" s="33"/>
      <c r="M151" s="154"/>
      <c r="T151" s="57"/>
      <c r="AT151" s="18" t="s">
        <v>236</v>
      </c>
      <c r="AU151" s="18" t="s">
        <v>20</v>
      </c>
    </row>
    <row r="152" spans="2:65" s="12" customFormat="1" ht="11.25" x14ac:dyDescent="0.3">
      <c r="B152" s="155"/>
      <c r="D152" s="156" t="s">
        <v>195</v>
      </c>
      <c r="E152" s="157" t="s">
        <v>1</v>
      </c>
      <c r="F152" s="158" t="s">
        <v>238</v>
      </c>
      <c r="H152" s="159">
        <v>206.46</v>
      </c>
      <c r="I152" s="160"/>
      <c r="L152" s="155"/>
      <c r="M152" s="161"/>
      <c r="T152" s="162"/>
      <c r="AT152" s="157" t="s">
        <v>195</v>
      </c>
      <c r="AU152" s="157" t="s">
        <v>20</v>
      </c>
      <c r="AV152" s="12" t="s">
        <v>20</v>
      </c>
      <c r="AW152" s="12" t="s">
        <v>37</v>
      </c>
      <c r="AX152" s="12" t="s">
        <v>88</v>
      </c>
      <c r="AY152" s="157" t="s">
        <v>184</v>
      </c>
    </row>
    <row r="153" spans="2:65" s="1" customFormat="1" ht="24.2" customHeight="1" x14ac:dyDescent="0.3">
      <c r="B153" s="33"/>
      <c r="C153" s="138" t="s">
        <v>239</v>
      </c>
      <c r="D153" s="138" t="s">
        <v>186</v>
      </c>
      <c r="E153" s="139" t="s">
        <v>240</v>
      </c>
      <c r="F153" s="140" t="s">
        <v>241</v>
      </c>
      <c r="G153" s="141" t="s">
        <v>217</v>
      </c>
      <c r="H153" s="142">
        <v>825.84</v>
      </c>
      <c r="I153" s="143">
        <v>7.13</v>
      </c>
      <c r="J153" s="144">
        <f>ROUND(I153*H153,2)</f>
        <v>5888.24</v>
      </c>
      <c r="K153" s="140" t="s">
        <v>190</v>
      </c>
      <c r="L153" s="33"/>
      <c r="M153" s="145" t="s">
        <v>1</v>
      </c>
      <c r="N153" s="146" t="s">
        <v>47</v>
      </c>
      <c r="O153" s="147">
        <v>5.0000000000000001E-3</v>
      </c>
      <c r="P153" s="147">
        <f>O153*H153</f>
        <v>4.1292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191</v>
      </c>
      <c r="AT153" s="149" t="s">
        <v>186</v>
      </c>
      <c r="AU153" s="149" t="s">
        <v>20</v>
      </c>
      <c r="AY153" s="18" t="s">
        <v>184</v>
      </c>
      <c r="BE153" s="150">
        <f>IF(N153="základní",J153,0)</f>
        <v>5888.24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8" t="s">
        <v>88</v>
      </c>
      <c r="BK153" s="150">
        <f>ROUND(I153*H153,2)</f>
        <v>5888.24</v>
      </c>
      <c r="BL153" s="18" t="s">
        <v>191</v>
      </c>
      <c r="BM153" s="149" t="s">
        <v>242</v>
      </c>
    </row>
    <row r="154" spans="2:65" s="1" customFormat="1" x14ac:dyDescent="0.3">
      <c r="B154" s="33"/>
      <c r="D154" s="151" t="s">
        <v>193</v>
      </c>
      <c r="F154" s="152" t="s">
        <v>243</v>
      </c>
      <c r="I154" s="153"/>
      <c r="L154" s="33"/>
      <c r="M154" s="154"/>
      <c r="T154" s="57"/>
      <c r="AT154" s="18" t="s">
        <v>193</v>
      </c>
      <c r="AU154" s="18" t="s">
        <v>20</v>
      </c>
    </row>
    <row r="155" spans="2:65" s="1" customFormat="1" ht="19.5" x14ac:dyDescent="0.3">
      <c r="B155" s="33"/>
      <c r="D155" s="156" t="s">
        <v>236</v>
      </c>
      <c r="F155" s="170" t="s">
        <v>237</v>
      </c>
      <c r="I155" s="153"/>
      <c r="L155" s="33"/>
      <c r="M155" s="154"/>
      <c r="T155" s="57"/>
      <c r="AT155" s="18" t="s">
        <v>236</v>
      </c>
      <c r="AU155" s="18" t="s">
        <v>20</v>
      </c>
    </row>
    <row r="156" spans="2:65" s="12" customFormat="1" ht="11.25" x14ac:dyDescent="0.3">
      <c r="B156" s="155"/>
      <c r="D156" s="156" t="s">
        <v>195</v>
      </c>
      <c r="E156" s="157" t="s">
        <v>1</v>
      </c>
      <c r="F156" s="158" t="s">
        <v>244</v>
      </c>
      <c r="H156" s="159">
        <v>825.84</v>
      </c>
      <c r="I156" s="160"/>
      <c r="L156" s="155"/>
      <c r="M156" s="161"/>
      <c r="T156" s="162"/>
      <c r="AT156" s="157" t="s">
        <v>195</v>
      </c>
      <c r="AU156" s="157" t="s">
        <v>20</v>
      </c>
      <c r="AV156" s="12" t="s">
        <v>20</v>
      </c>
      <c r="AW156" s="12" t="s">
        <v>37</v>
      </c>
      <c r="AX156" s="12" t="s">
        <v>88</v>
      </c>
      <c r="AY156" s="157" t="s">
        <v>184</v>
      </c>
    </row>
    <row r="157" spans="2:65" s="1" customFormat="1" ht="16.5" customHeight="1" x14ac:dyDescent="0.3">
      <c r="B157" s="33"/>
      <c r="C157" s="138" t="s">
        <v>245</v>
      </c>
      <c r="D157" s="138" t="s">
        <v>186</v>
      </c>
      <c r="E157" s="139" t="s">
        <v>246</v>
      </c>
      <c r="F157" s="140" t="s">
        <v>247</v>
      </c>
      <c r="G157" s="141" t="s">
        <v>248</v>
      </c>
      <c r="H157" s="142">
        <v>412.92</v>
      </c>
      <c r="I157" s="143">
        <v>256.7</v>
      </c>
      <c r="J157" s="144">
        <f>ROUND(I157*H157,2)</f>
        <v>105996.56</v>
      </c>
      <c r="K157" s="140" t="s">
        <v>190</v>
      </c>
      <c r="L157" s="33"/>
      <c r="M157" s="145" t="s">
        <v>1</v>
      </c>
      <c r="N157" s="146" t="s">
        <v>47</v>
      </c>
      <c r="O157" s="147">
        <v>0</v>
      </c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AR157" s="149" t="s">
        <v>191</v>
      </c>
      <c r="AT157" s="149" t="s">
        <v>186</v>
      </c>
      <c r="AU157" s="149" t="s">
        <v>20</v>
      </c>
      <c r="AY157" s="18" t="s">
        <v>184</v>
      </c>
      <c r="BE157" s="150">
        <f>IF(N157="základní",J157,0)</f>
        <v>105996.56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8" t="s">
        <v>88</v>
      </c>
      <c r="BK157" s="150">
        <f>ROUND(I157*H157,2)</f>
        <v>105996.56</v>
      </c>
      <c r="BL157" s="18" t="s">
        <v>191</v>
      </c>
      <c r="BM157" s="149" t="s">
        <v>249</v>
      </c>
    </row>
    <row r="158" spans="2:65" s="1" customFormat="1" x14ac:dyDescent="0.3">
      <c r="B158" s="33"/>
      <c r="D158" s="151" t="s">
        <v>193</v>
      </c>
      <c r="F158" s="152" t="s">
        <v>250</v>
      </c>
      <c r="I158" s="153"/>
      <c r="L158" s="33"/>
      <c r="M158" s="154"/>
      <c r="T158" s="57"/>
      <c r="AT158" s="18" t="s">
        <v>193</v>
      </c>
      <c r="AU158" s="18" t="s">
        <v>20</v>
      </c>
    </row>
    <row r="159" spans="2:65" s="12" customFormat="1" ht="11.25" x14ac:dyDescent="0.3">
      <c r="B159" s="155"/>
      <c r="D159" s="156" t="s">
        <v>195</v>
      </c>
      <c r="E159" s="157" t="s">
        <v>1</v>
      </c>
      <c r="F159" s="158" t="s">
        <v>251</v>
      </c>
      <c r="H159" s="159">
        <v>412.92</v>
      </c>
      <c r="I159" s="160"/>
      <c r="L159" s="155"/>
      <c r="M159" s="161"/>
      <c r="T159" s="162"/>
      <c r="AT159" s="157" t="s">
        <v>195</v>
      </c>
      <c r="AU159" s="157" t="s">
        <v>20</v>
      </c>
      <c r="AV159" s="12" t="s">
        <v>20</v>
      </c>
      <c r="AW159" s="12" t="s">
        <v>37</v>
      </c>
      <c r="AX159" s="12" t="s">
        <v>88</v>
      </c>
      <c r="AY159" s="157" t="s">
        <v>184</v>
      </c>
    </row>
    <row r="160" spans="2:65" s="1" customFormat="1" ht="16.5" customHeight="1" x14ac:dyDescent="0.3">
      <c r="B160" s="33"/>
      <c r="C160" s="138" t="s">
        <v>252</v>
      </c>
      <c r="D160" s="138" t="s">
        <v>186</v>
      </c>
      <c r="E160" s="139" t="s">
        <v>253</v>
      </c>
      <c r="F160" s="140" t="s">
        <v>254</v>
      </c>
      <c r="G160" s="141" t="s">
        <v>217</v>
      </c>
      <c r="H160" s="142">
        <v>206.46</v>
      </c>
      <c r="I160" s="143">
        <v>30.54</v>
      </c>
      <c r="J160" s="144">
        <f>ROUND(I160*H160,2)</f>
        <v>6305.29</v>
      </c>
      <c r="K160" s="140" t="s">
        <v>190</v>
      </c>
      <c r="L160" s="33"/>
      <c r="M160" s="145" t="s">
        <v>1</v>
      </c>
      <c r="N160" s="146" t="s">
        <v>47</v>
      </c>
      <c r="O160" s="147">
        <v>8.9999999999999993E-3</v>
      </c>
      <c r="P160" s="147">
        <f>O160*H160</f>
        <v>1.8581399999999999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49" t="s">
        <v>191</v>
      </c>
      <c r="AT160" s="149" t="s">
        <v>186</v>
      </c>
      <c r="AU160" s="149" t="s">
        <v>20</v>
      </c>
      <c r="AY160" s="18" t="s">
        <v>184</v>
      </c>
      <c r="BE160" s="150">
        <f>IF(N160="základní",J160,0)</f>
        <v>6305.29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8" t="s">
        <v>88</v>
      </c>
      <c r="BK160" s="150">
        <f>ROUND(I160*H160,2)</f>
        <v>6305.29</v>
      </c>
      <c r="BL160" s="18" t="s">
        <v>191</v>
      </c>
      <c r="BM160" s="149" t="s">
        <v>255</v>
      </c>
    </row>
    <row r="161" spans="2:65" s="1" customFormat="1" x14ac:dyDescent="0.3">
      <c r="B161" s="33"/>
      <c r="D161" s="151" t="s">
        <v>193</v>
      </c>
      <c r="F161" s="152" t="s">
        <v>256</v>
      </c>
      <c r="I161" s="153"/>
      <c r="L161" s="33"/>
      <c r="M161" s="154"/>
      <c r="T161" s="57"/>
      <c r="AT161" s="18" t="s">
        <v>193</v>
      </c>
      <c r="AU161" s="18" t="s">
        <v>20</v>
      </c>
    </row>
    <row r="162" spans="2:65" s="1" customFormat="1" ht="16.5" customHeight="1" x14ac:dyDescent="0.3">
      <c r="B162" s="33"/>
      <c r="C162" s="138" t="s">
        <v>257</v>
      </c>
      <c r="D162" s="138" t="s">
        <v>186</v>
      </c>
      <c r="E162" s="139" t="s">
        <v>258</v>
      </c>
      <c r="F162" s="140" t="s">
        <v>259</v>
      </c>
      <c r="G162" s="141" t="s">
        <v>189</v>
      </c>
      <c r="H162" s="142">
        <v>688.2</v>
      </c>
      <c r="I162" s="143">
        <v>38.18</v>
      </c>
      <c r="J162" s="144">
        <f>ROUND(I162*H162,2)</f>
        <v>26275.48</v>
      </c>
      <c r="K162" s="140" t="s">
        <v>1</v>
      </c>
      <c r="L162" s="33"/>
      <c r="M162" s="145" t="s">
        <v>1</v>
      </c>
      <c r="N162" s="146" t="s">
        <v>47</v>
      </c>
      <c r="O162" s="147">
        <v>2.9000000000000001E-2</v>
      </c>
      <c r="P162" s="147">
        <f>O162*H162</f>
        <v>19.957800000000002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AR162" s="149" t="s">
        <v>191</v>
      </c>
      <c r="AT162" s="149" t="s">
        <v>186</v>
      </c>
      <c r="AU162" s="149" t="s">
        <v>20</v>
      </c>
      <c r="AY162" s="18" t="s">
        <v>184</v>
      </c>
      <c r="BE162" s="150">
        <f>IF(N162="základní",J162,0)</f>
        <v>26275.48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8" t="s">
        <v>88</v>
      </c>
      <c r="BK162" s="150">
        <f>ROUND(I162*H162,2)</f>
        <v>26275.48</v>
      </c>
      <c r="BL162" s="18" t="s">
        <v>191</v>
      </c>
      <c r="BM162" s="149" t="s">
        <v>260</v>
      </c>
    </row>
    <row r="163" spans="2:65" s="1" customFormat="1" ht="19.5" x14ac:dyDescent="0.3">
      <c r="B163" s="33"/>
      <c r="D163" s="156" t="s">
        <v>236</v>
      </c>
      <c r="F163" s="170" t="s">
        <v>261</v>
      </c>
      <c r="I163" s="153"/>
      <c r="L163" s="33"/>
      <c r="M163" s="154"/>
      <c r="T163" s="57"/>
      <c r="AT163" s="18" t="s">
        <v>236</v>
      </c>
      <c r="AU163" s="18" t="s">
        <v>20</v>
      </c>
    </row>
    <row r="164" spans="2:65" s="12" customFormat="1" ht="11.25" x14ac:dyDescent="0.3">
      <c r="B164" s="155"/>
      <c r="D164" s="156" t="s">
        <v>195</v>
      </c>
      <c r="E164" s="157" t="s">
        <v>1</v>
      </c>
      <c r="F164" s="158" t="s">
        <v>262</v>
      </c>
      <c r="H164" s="159">
        <v>688.2</v>
      </c>
      <c r="I164" s="160"/>
      <c r="L164" s="155"/>
      <c r="M164" s="161"/>
      <c r="T164" s="162"/>
      <c r="AT164" s="157" t="s">
        <v>195</v>
      </c>
      <c r="AU164" s="157" t="s">
        <v>20</v>
      </c>
      <c r="AV164" s="12" t="s">
        <v>20</v>
      </c>
      <c r="AW164" s="12" t="s">
        <v>37</v>
      </c>
      <c r="AX164" s="12" t="s">
        <v>88</v>
      </c>
      <c r="AY164" s="157" t="s">
        <v>184</v>
      </c>
    </row>
    <row r="165" spans="2:65" s="11" customFormat="1" ht="22.9" customHeight="1" x14ac:dyDescent="0.2">
      <c r="B165" s="127"/>
      <c r="D165" s="128" t="s">
        <v>80</v>
      </c>
      <c r="E165" s="136" t="s">
        <v>214</v>
      </c>
      <c r="F165" s="136" t="s">
        <v>263</v>
      </c>
      <c r="I165" s="171"/>
      <c r="J165" s="137">
        <f>BK165</f>
        <v>1376022.94</v>
      </c>
      <c r="L165" s="127"/>
      <c r="M165" s="131"/>
      <c r="P165" s="132">
        <f>SUM(P166:P186)</f>
        <v>398.8732</v>
      </c>
      <c r="R165" s="132">
        <f>SUM(R166:R186)</f>
        <v>563.76731140000004</v>
      </c>
      <c r="T165" s="133">
        <f>SUM(T166:T186)</f>
        <v>0</v>
      </c>
      <c r="AR165" s="128" t="s">
        <v>88</v>
      </c>
      <c r="AT165" s="134" t="s">
        <v>80</v>
      </c>
      <c r="AU165" s="134" t="s">
        <v>88</v>
      </c>
      <c r="AY165" s="128" t="s">
        <v>184</v>
      </c>
      <c r="BK165" s="135">
        <f>SUM(BK166:BK186)</f>
        <v>1376022.94</v>
      </c>
    </row>
    <row r="166" spans="2:65" s="1" customFormat="1" ht="24.2" customHeight="1" x14ac:dyDescent="0.3">
      <c r="B166" s="33"/>
      <c r="C166" s="138" t="s">
        <v>264</v>
      </c>
      <c r="D166" s="138" t="s">
        <v>186</v>
      </c>
      <c r="E166" s="139" t="s">
        <v>265</v>
      </c>
      <c r="F166" s="140" t="s">
        <v>266</v>
      </c>
      <c r="G166" s="141" t="s">
        <v>189</v>
      </c>
      <c r="H166" s="142">
        <v>688.2</v>
      </c>
      <c r="I166" s="143">
        <v>360.97</v>
      </c>
      <c r="J166" s="144">
        <f>ROUND(I166*H166,2)</f>
        <v>248419.55</v>
      </c>
      <c r="K166" s="140" t="s">
        <v>190</v>
      </c>
      <c r="L166" s="33"/>
      <c r="M166" s="145" t="s">
        <v>1</v>
      </c>
      <c r="N166" s="146" t="s">
        <v>47</v>
      </c>
      <c r="O166" s="147">
        <v>4.4999999999999998E-2</v>
      </c>
      <c r="P166" s="147">
        <f>O166*H166</f>
        <v>30.969000000000001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49" t="s">
        <v>191</v>
      </c>
      <c r="AT166" s="149" t="s">
        <v>186</v>
      </c>
      <c r="AU166" s="149" t="s">
        <v>20</v>
      </c>
      <c r="AY166" s="18" t="s">
        <v>184</v>
      </c>
      <c r="BE166" s="150">
        <f>IF(N166="základní",J166,0)</f>
        <v>248419.55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8" t="s">
        <v>88</v>
      </c>
      <c r="BK166" s="150">
        <f>ROUND(I166*H166,2)</f>
        <v>248419.55</v>
      </c>
      <c r="BL166" s="18" t="s">
        <v>191</v>
      </c>
      <c r="BM166" s="149" t="s">
        <v>267</v>
      </c>
    </row>
    <row r="167" spans="2:65" s="1" customFormat="1" x14ac:dyDescent="0.3">
      <c r="B167" s="33"/>
      <c r="D167" s="151" t="s">
        <v>193</v>
      </c>
      <c r="F167" s="152" t="s">
        <v>268</v>
      </c>
      <c r="I167" s="153"/>
      <c r="L167" s="33"/>
      <c r="M167" s="154"/>
      <c r="T167" s="57"/>
      <c r="AT167" s="18" t="s">
        <v>193</v>
      </c>
      <c r="AU167" s="18" t="s">
        <v>20</v>
      </c>
    </row>
    <row r="168" spans="2:65" s="1" customFormat="1" ht="19.5" x14ac:dyDescent="0.3">
      <c r="B168" s="33"/>
      <c r="D168" s="156" t="s">
        <v>236</v>
      </c>
      <c r="F168" s="170" t="s">
        <v>261</v>
      </c>
      <c r="I168" s="153"/>
      <c r="L168" s="33"/>
      <c r="M168" s="154"/>
      <c r="T168" s="57"/>
      <c r="AT168" s="18" t="s">
        <v>236</v>
      </c>
      <c r="AU168" s="18" t="s">
        <v>20</v>
      </c>
    </row>
    <row r="169" spans="2:65" s="12" customFormat="1" ht="11.25" x14ac:dyDescent="0.3">
      <c r="B169" s="155"/>
      <c r="D169" s="156" t="s">
        <v>195</v>
      </c>
      <c r="E169" s="157" t="s">
        <v>1</v>
      </c>
      <c r="F169" s="158" t="s">
        <v>269</v>
      </c>
      <c r="H169" s="159">
        <v>688.2</v>
      </c>
      <c r="I169" s="160"/>
      <c r="L169" s="155"/>
      <c r="M169" s="161"/>
      <c r="T169" s="162"/>
      <c r="AT169" s="157" t="s">
        <v>195</v>
      </c>
      <c r="AU169" s="157" t="s">
        <v>20</v>
      </c>
      <c r="AV169" s="12" t="s">
        <v>20</v>
      </c>
      <c r="AW169" s="12" t="s">
        <v>37</v>
      </c>
      <c r="AX169" s="12" t="s">
        <v>88</v>
      </c>
      <c r="AY169" s="157" t="s">
        <v>184</v>
      </c>
    </row>
    <row r="170" spans="2:65" s="1" customFormat="1" ht="16.5" customHeight="1" x14ac:dyDescent="0.3">
      <c r="B170" s="33"/>
      <c r="C170" s="172" t="s">
        <v>270</v>
      </c>
      <c r="D170" s="172" t="s">
        <v>271</v>
      </c>
      <c r="E170" s="173" t="s">
        <v>272</v>
      </c>
      <c r="F170" s="174" t="s">
        <v>273</v>
      </c>
      <c r="G170" s="175" t="s">
        <v>248</v>
      </c>
      <c r="H170" s="176">
        <v>16.516999999999999</v>
      </c>
      <c r="I170" s="177">
        <v>7944.63</v>
      </c>
      <c r="J170" s="178">
        <f>ROUND(I170*H170,2)</f>
        <v>131221.45000000001</v>
      </c>
      <c r="K170" s="174" t="s">
        <v>190</v>
      </c>
      <c r="L170" s="179"/>
      <c r="M170" s="180" t="s">
        <v>1</v>
      </c>
      <c r="N170" s="181" t="s">
        <v>47</v>
      </c>
      <c r="O170" s="147">
        <v>0</v>
      </c>
      <c r="P170" s="147">
        <f>O170*H170</f>
        <v>0</v>
      </c>
      <c r="Q170" s="147">
        <v>1</v>
      </c>
      <c r="R170" s="147">
        <f>Q170*H170</f>
        <v>16.516999999999999</v>
      </c>
      <c r="S170" s="147">
        <v>0</v>
      </c>
      <c r="T170" s="148">
        <f>S170*H170</f>
        <v>0</v>
      </c>
      <c r="AR170" s="149" t="s">
        <v>239</v>
      </c>
      <c r="AT170" s="149" t="s">
        <v>271</v>
      </c>
      <c r="AU170" s="149" t="s">
        <v>20</v>
      </c>
      <c r="AY170" s="18" t="s">
        <v>184</v>
      </c>
      <c r="BE170" s="150">
        <f>IF(N170="základní",J170,0)</f>
        <v>131221.45000000001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8" t="s">
        <v>88</v>
      </c>
      <c r="BK170" s="150">
        <f>ROUND(I170*H170,2)</f>
        <v>131221.45000000001</v>
      </c>
      <c r="BL170" s="18" t="s">
        <v>191</v>
      </c>
      <c r="BM170" s="149" t="s">
        <v>274</v>
      </c>
    </row>
    <row r="171" spans="2:65" s="12" customFormat="1" ht="11.25" x14ac:dyDescent="0.3">
      <c r="B171" s="155"/>
      <c r="D171" s="156" t="s">
        <v>195</v>
      </c>
      <c r="E171" s="157" t="s">
        <v>1</v>
      </c>
      <c r="F171" s="158" t="s">
        <v>275</v>
      </c>
      <c r="H171" s="159">
        <v>16.516999999999999</v>
      </c>
      <c r="I171" s="160"/>
      <c r="L171" s="155"/>
      <c r="M171" s="161"/>
      <c r="T171" s="162"/>
      <c r="AT171" s="157" t="s">
        <v>195</v>
      </c>
      <c r="AU171" s="157" t="s">
        <v>20</v>
      </c>
      <c r="AV171" s="12" t="s">
        <v>20</v>
      </c>
      <c r="AW171" s="12" t="s">
        <v>37</v>
      </c>
      <c r="AX171" s="12" t="s">
        <v>88</v>
      </c>
      <c r="AY171" s="157" t="s">
        <v>184</v>
      </c>
    </row>
    <row r="172" spans="2:65" s="1" customFormat="1" ht="16.5" customHeight="1" x14ac:dyDescent="0.3">
      <c r="B172" s="33"/>
      <c r="C172" s="138" t="s">
        <v>276</v>
      </c>
      <c r="D172" s="138" t="s">
        <v>186</v>
      </c>
      <c r="E172" s="139" t="s">
        <v>277</v>
      </c>
      <c r="F172" s="140" t="s">
        <v>278</v>
      </c>
      <c r="G172" s="141" t="s">
        <v>189</v>
      </c>
      <c r="H172" s="142">
        <v>688.2</v>
      </c>
      <c r="I172" s="143">
        <v>392.36</v>
      </c>
      <c r="J172" s="144">
        <f>ROUND(I172*H172,2)</f>
        <v>270022.15000000002</v>
      </c>
      <c r="K172" s="140" t="s">
        <v>190</v>
      </c>
      <c r="L172" s="33"/>
      <c r="M172" s="145" t="s">
        <v>1</v>
      </c>
      <c r="N172" s="146" t="s">
        <v>47</v>
      </c>
      <c r="O172" s="147">
        <v>3.1E-2</v>
      </c>
      <c r="P172" s="147">
        <f>O172*H172</f>
        <v>21.334200000000003</v>
      </c>
      <c r="Q172" s="147">
        <v>0.57499999999999996</v>
      </c>
      <c r="R172" s="147">
        <f>Q172*H172</f>
        <v>395.71499999999997</v>
      </c>
      <c r="S172" s="147">
        <v>0</v>
      </c>
      <c r="T172" s="148">
        <f>S172*H172</f>
        <v>0</v>
      </c>
      <c r="AR172" s="149" t="s">
        <v>191</v>
      </c>
      <c r="AT172" s="149" t="s">
        <v>186</v>
      </c>
      <c r="AU172" s="149" t="s">
        <v>20</v>
      </c>
      <c r="AY172" s="18" t="s">
        <v>184</v>
      </c>
      <c r="BE172" s="150">
        <f>IF(N172="základní",J172,0)</f>
        <v>270022.15000000002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8" t="s">
        <v>88</v>
      </c>
      <c r="BK172" s="150">
        <f>ROUND(I172*H172,2)</f>
        <v>270022.15000000002</v>
      </c>
      <c r="BL172" s="18" t="s">
        <v>191</v>
      </c>
      <c r="BM172" s="149" t="s">
        <v>279</v>
      </c>
    </row>
    <row r="173" spans="2:65" s="1" customFormat="1" x14ac:dyDescent="0.3">
      <c r="B173" s="33"/>
      <c r="D173" s="151" t="s">
        <v>193</v>
      </c>
      <c r="F173" s="152" t="s">
        <v>280</v>
      </c>
      <c r="I173" s="153"/>
      <c r="L173" s="33"/>
      <c r="M173" s="154"/>
      <c r="T173" s="57"/>
      <c r="AT173" s="18" t="s">
        <v>193</v>
      </c>
      <c r="AU173" s="18" t="s">
        <v>20</v>
      </c>
    </row>
    <row r="174" spans="2:65" s="1" customFormat="1" ht="19.5" x14ac:dyDescent="0.3">
      <c r="B174" s="33"/>
      <c r="D174" s="156" t="s">
        <v>236</v>
      </c>
      <c r="F174" s="170" t="s">
        <v>281</v>
      </c>
      <c r="I174" s="153"/>
      <c r="L174" s="33"/>
      <c r="M174" s="154"/>
      <c r="T174" s="57"/>
      <c r="AT174" s="18" t="s">
        <v>236</v>
      </c>
      <c r="AU174" s="18" t="s">
        <v>20</v>
      </c>
    </row>
    <row r="175" spans="2:65" s="12" customFormat="1" ht="11.25" x14ac:dyDescent="0.3">
      <c r="B175" s="155"/>
      <c r="D175" s="156" t="s">
        <v>195</v>
      </c>
      <c r="E175" s="157" t="s">
        <v>1</v>
      </c>
      <c r="F175" s="158" t="s">
        <v>269</v>
      </c>
      <c r="H175" s="159">
        <v>688.2</v>
      </c>
      <c r="I175" s="160"/>
      <c r="L175" s="155"/>
      <c r="M175" s="161"/>
      <c r="T175" s="162"/>
      <c r="AT175" s="157" t="s">
        <v>195</v>
      </c>
      <c r="AU175" s="157" t="s">
        <v>20</v>
      </c>
      <c r="AV175" s="12" t="s">
        <v>20</v>
      </c>
      <c r="AW175" s="12" t="s">
        <v>37</v>
      </c>
      <c r="AX175" s="12" t="s">
        <v>88</v>
      </c>
      <c r="AY175" s="157" t="s">
        <v>184</v>
      </c>
    </row>
    <row r="176" spans="2:65" s="1" customFormat="1" ht="16.5" customHeight="1" x14ac:dyDescent="0.3">
      <c r="B176" s="33"/>
      <c r="C176" s="138" t="s">
        <v>7</v>
      </c>
      <c r="D176" s="138" t="s">
        <v>186</v>
      </c>
      <c r="E176" s="139" t="s">
        <v>282</v>
      </c>
      <c r="F176" s="140" t="s">
        <v>283</v>
      </c>
      <c r="G176" s="141" t="s">
        <v>189</v>
      </c>
      <c r="H176" s="142">
        <v>688.22</v>
      </c>
      <c r="I176" s="143">
        <v>674.88</v>
      </c>
      <c r="J176" s="144">
        <f>ROUND(I176*H176,2)</f>
        <v>464465.91</v>
      </c>
      <c r="K176" s="140" t="s">
        <v>190</v>
      </c>
      <c r="L176" s="33"/>
      <c r="M176" s="145" t="s">
        <v>1</v>
      </c>
      <c r="N176" s="146" t="s">
        <v>47</v>
      </c>
      <c r="O176" s="147">
        <v>0.5</v>
      </c>
      <c r="P176" s="147">
        <f>O176*H176</f>
        <v>344.11</v>
      </c>
      <c r="Q176" s="147">
        <v>8.9219999999999994E-2</v>
      </c>
      <c r="R176" s="147">
        <f>Q176*H176</f>
        <v>61.402988399999998</v>
      </c>
      <c r="S176" s="147">
        <v>0</v>
      </c>
      <c r="T176" s="148">
        <f>S176*H176</f>
        <v>0</v>
      </c>
      <c r="AR176" s="149" t="s">
        <v>191</v>
      </c>
      <c r="AT176" s="149" t="s">
        <v>186</v>
      </c>
      <c r="AU176" s="149" t="s">
        <v>20</v>
      </c>
      <c r="AY176" s="18" t="s">
        <v>184</v>
      </c>
      <c r="BE176" s="150">
        <f>IF(N176="základní",J176,0)</f>
        <v>464465.91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8" t="s">
        <v>88</v>
      </c>
      <c r="BK176" s="150">
        <f>ROUND(I176*H176,2)</f>
        <v>464465.91</v>
      </c>
      <c r="BL176" s="18" t="s">
        <v>191</v>
      </c>
      <c r="BM176" s="149" t="s">
        <v>284</v>
      </c>
    </row>
    <row r="177" spans="2:65" s="1" customFormat="1" x14ac:dyDescent="0.3">
      <c r="B177" s="33"/>
      <c r="D177" s="151" t="s">
        <v>193</v>
      </c>
      <c r="F177" s="152" t="s">
        <v>285</v>
      </c>
      <c r="I177" s="153"/>
      <c r="L177" s="33"/>
      <c r="M177" s="154"/>
      <c r="T177" s="57"/>
      <c r="AT177" s="18" t="s">
        <v>193</v>
      </c>
      <c r="AU177" s="18" t="s">
        <v>20</v>
      </c>
    </row>
    <row r="178" spans="2:65" s="12" customFormat="1" ht="11.25" x14ac:dyDescent="0.3">
      <c r="B178" s="155"/>
      <c r="D178" s="156" t="s">
        <v>195</v>
      </c>
      <c r="E178" s="157" t="s">
        <v>1</v>
      </c>
      <c r="F178" s="158" t="s">
        <v>286</v>
      </c>
      <c r="H178" s="159">
        <v>688.22</v>
      </c>
      <c r="I178" s="160"/>
      <c r="L178" s="155"/>
      <c r="M178" s="161"/>
      <c r="T178" s="162"/>
      <c r="AT178" s="157" t="s">
        <v>195</v>
      </c>
      <c r="AU178" s="157" t="s">
        <v>20</v>
      </c>
      <c r="AV178" s="12" t="s">
        <v>20</v>
      </c>
      <c r="AW178" s="12" t="s">
        <v>37</v>
      </c>
      <c r="AX178" s="12" t="s">
        <v>88</v>
      </c>
      <c r="AY178" s="157" t="s">
        <v>184</v>
      </c>
    </row>
    <row r="179" spans="2:65" s="1" customFormat="1" ht="16.5" customHeight="1" x14ac:dyDescent="0.3">
      <c r="B179" s="33"/>
      <c r="C179" s="172" t="s">
        <v>287</v>
      </c>
      <c r="D179" s="172" t="s">
        <v>271</v>
      </c>
      <c r="E179" s="173" t="s">
        <v>288</v>
      </c>
      <c r="F179" s="174" t="s">
        <v>289</v>
      </c>
      <c r="G179" s="175" t="s">
        <v>189</v>
      </c>
      <c r="H179" s="176">
        <v>646.86500000000001</v>
      </c>
      <c r="I179" s="177">
        <v>363.8</v>
      </c>
      <c r="J179" s="178">
        <f>ROUND(I179*H179,2)</f>
        <v>235329.49</v>
      </c>
      <c r="K179" s="174" t="s">
        <v>190</v>
      </c>
      <c r="L179" s="179"/>
      <c r="M179" s="180" t="s">
        <v>1</v>
      </c>
      <c r="N179" s="181" t="s">
        <v>47</v>
      </c>
      <c r="O179" s="147">
        <v>0</v>
      </c>
      <c r="P179" s="147">
        <f>O179*H179</f>
        <v>0</v>
      </c>
      <c r="Q179" s="147">
        <v>0.13100000000000001</v>
      </c>
      <c r="R179" s="147">
        <f>Q179*H179</f>
        <v>84.739315000000005</v>
      </c>
      <c r="S179" s="147">
        <v>0</v>
      </c>
      <c r="T179" s="148">
        <f>S179*H179</f>
        <v>0</v>
      </c>
      <c r="AR179" s="149" t="s">
        <v>239</v>
      </c>
      <c r="AT179" s="149" t="s">
        <v>271</v>
      </c>
      <c r="AU179" s="149" t="s">
        <v>20</v>
      </c>
      <c r="AY179" s="18" t="s">
        <v>184</v>
      </c>
      <c r="BE179" s="150">
        <f>IF(N179="základní",J179,0)</f>
        <v>235329.49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8" t="s">
        <v>88</v>
      </c>
      <c r="BK179" s="150">
        <f>ROUND(I179*H179,2)</f>
        <v>235329.49</v>
      </c>
      <c r="BL179" s="18" t="s">
        <v>191</v>
      </c>
      <c r="BM179" s="149" t="s">
        <v>290</v>
      </c>
    </row>
    <row r="180" spans="2:65" s="12" customFormat="1" ht="22.5" x14ac:dyDescent="0.3">
      <c r="B180" s="155"/>
      <c r="D180" s="156" t="s">
        <v>195</v>
      </c>
      <c r="E180" s="157" t="s">
        <v>1</v>
      </c>
      <c r="F180" s="158" t="s">
        <v>291</v>
      </c>
      <c r="H180" s="159">
        <v>640.46</v>
      </c>
      <c r="I180" s="160"/>
      <c r="L180" s="155"/>
      <c r="M180" s="161"/>
      <c r="T180" s="162"/>
      <c r="AT180" s="157" t="s">
        <v>195</v>
      </c>
      <c r="AU180" s="157" t="s">
        <v>20</v>
      </c>
      <c r="AV180" s="12" t="s">
        <v>20</v>
      </c>
      <c r="AW180" s="12" t="s">
        <v>37</v>
      </c>
      <c r="AX180" s="12" t="s">
        <v>81</v>
      </c>
      <c r="AY180" s="157" t="s">
        <v>184</v>
      </c>
    </row>
    <row r="181" spans="2:65" s="12" customFormat="1" ht="11.25" x14ac:dyDescent="0.3">
      <c r="B181" s="155"/>
      <c r="D181" s="156" t="s">
        <v>195</v>
      </c>
      <c r="E181" s="157" t="s">
        <v>1</v>
      </c>
      <c r="F181" s="158" t="s">
        <v>292</v>
      </c>
      <c r="H181" s="159">
        <v>646.86500000000001</v>
      </c>
      <c r="I181" s="160"/>
      <c r="L181" s="155"/>
      <c r="M181" s="161"/>
      <c r="T181" s="162"/>
      <c r="AT181" s="157" t="s">
        <v>195</v>
      </c>
      <c r="AU181" s="157" t="s">
        <v>20</v>
      </c>
      <c r="AV181" s="12" t="s">
        <v>20</v>
      </c>
      <c r="AW181" s="12" t="s">
        <v>37</v>
      </c>
      <c r="AX181" s="12" t="s">
        <v>88</v>
      </c>
      <c r="AY181" s="157" t="s">
        <v>184</v>
      </c>
    </row>
    <row r="182" spans="2:65" s="1" customFormat="1" ht="16.5" customHeight="1" x14ac:dyDescent="0.3">
      <c r="B182" s="33"/>
      <c r="C182" s="172" t="s">
        <v>293</v>
      </c>
      <c r="D182" s="172" t="s">
        <v>271</v>
      </c>
      <c r="E182" s="173" t="s">
        <v>294</v>
      </c>
      <c r="F182" s="174" t="s">
        <v>295</v>
      </c>
      <c r="G182" s="175" t="s">
        <v>189</v>
      </c>
      <c r="H182" s="176">
        <v>41.167999999999999</v>
      </c>
      <c r="I182" s="177">
        <v>613.01</v>
      </c>
      <c r="J182" s="178">
        <f>ROUND(I182*H182,2)</f>
        <v>25236.400000000001</v>
      </c>
      <c r="K182" s="174" t="s">
        <v>190</v>
      </c>
      <c r="L182" s="179"/>
      <c r="M182" s="180" t="s">
        <v>1</v>
      </c>
      <c r="N182" s="181" t="s">
        <v>47</v>
      </c>
      <c r="O182" s="147">
        <v>0</v>
      </c>
      <c r="P182" s="147">
        <f>O182*H182</f>
        <v>0</v>
      </c>
      <c r="Q182" s="147">
        <v>0.13100000000000001</v>
      </c>
      <c r="R182" s="147">
        <f>Q182*H182</f>
        <v>5.393008</v>
      </c>
      <c r="S182" s="147">
        <v>0</v>
      </c>
      <c r="T182" s="148">
        <f>S182*H182</f>
        <v>0</v>
      </c>
      <c r="AR182" s="149" t="s">
        <v>239</v>
      </c>
      <c r="AT182" s="149" t="s">
        <v>271</v>
      </c>
      <c r="AU182" s="149" t="s">
        <v>20</v>
      </c>
      <c r="AY182" s="18" t="s">
        <v>184</v>
      </c>
      <c r="BE182" s="150">
        <f>IF(N182="základní",J182,0)</f>
        <v>25236.400000000001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8" t="s">
        <v>88</v>
      </c>
      <c r="BK182" s="150">
        <f>ROUND(I182*H182,2)</f>
        <v>25236.400000000001</v>
      </c>
      <c r="BL182" s="18" t="s">
        <v>191</v>
      </c>
      <c r="BM182" s="149" t="s">
        <v>296</v>
      </c>
    </row>
    <row r="183" spans="2:65" s="12" customFormat="1" ht="33.75" x14ac:dyDescent="0.3">
      <c r="B183" s="155"/>
      <c r="D183" s="156" t="s">
        <v>195</v>
      </c>
      <c r="E183" s="157" t="s">
        <v>1</v>
      </c>
      <c r="F183" s="158" t="s">
        <v>297</v>
      </c>
      <c r="H183" s="159">
        <v>40.76</v>
      </c>
      <c r="I183" s="160"/>
      <c r="L183" s="155"/>
      <c r="M183" s="161"/>
      <c r="T183" s="162"/>
      <c r="AT183" s="157" t="s">
        <v>195</v>
      </c>
      <c r="AU183" s="157" t="s">
        <v>20</v>
      </c>
      <c r="AV183" s="12" t="s">
        <v>20</v>
      </c>
      <c r="AW183" s="12" t="s">
        <v>37</v>
      </c>
      <c r="AX183" s="12" t="s">
        <v>81</v>
      </c>
      <c r="AY183" s="157" t="s">
        <v>184</v>
      </c>
    </row>
    <row r="184" spans="2:65" s="12" customFormat="1" ht="11.25" x14ac:dyDescent="0.3">
      <c r="B184" s="155"/>
      <c r="D184" s="156" t="s">
        <v>195</v>
      </c>
      <c r="E184" s="157" t="s">
        <v>1</v>
      </c>
      <c r="F184" s="158" t="s">
        <v>298</v>
      </c>
      <c r="H184" s="159">
        <v>41.167999999999999</v>
      </c>
      <c r="I184" s="160"/>
      <c r="L184" s="155"/>
      <c r="M184" s="161"/>
      <c r="T184" s="162"/>
      <c r="AT184" s="157" t="s">
        <v>195</v>
      </c>
      <c r="AU184" s="157" t="s">
        <v>20</v>
      </c>
      <c r="AV184" s="12" t="s">
        <v>20</v>
      </c>
      <c r="AW184" s="12" t="s">
        <v>37</v>
      </c>
      <c r="AX184" s="12" t="s">
        <v>88</v>
      </c>
      <c r="AY184" s="157" t="s">
        <v>184</v>
      </c>
    </row>
    <row r="185" spans="2:65" s="1" customFormat="1" ht="21.75" customHeight="1" x14ac:dyDescent="0.3">
      <c r="B185" s="33"/>
      <c r="C185" s="138" t="s">
        <v>299</v>
      </c>
      <c r="D185" s="138" t="s">
        <v>186</v>
      </c>
      <c r="E185" s="139" t="s">
        <v>300</v>
      </c>
      <c r="F185" s="140" t="s">
        <v>301</v>
      </c>
      <c r="G185" s="141" t="s">
        <v>189</v>
      </c>
      <c r="H185" s="142">
        <v>41</v>
      </c>
      <c r="I185" s="143">
        <v>32.39</v>
      </c>
      <c r="J185" s="144">
        <f>ROUND(I185*H185,2)</f>
        <v>1327.99</v>
      </c>
      <c r="K185" s="140" t="s">
        <v>190</v>
      </c>
      <c r="L185" s="33"/>
      <c r="M185" s="145" t="s">
        <v>1</v>
      </c>
      <c r="N185" s="146" t="s">
        <v>47</v>
      </c>
      <c r="O185" s="147">
        <v>0.06</v>
      </c>
      <c r="P185" s="147">
        <f>O185*H185</f>
        <v>2.46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49" t="s">
        <v>191</v>
      </c>
      <c r="AT185" s="149" t="s">
        <v>186</v>
      </c>
      <c r="AU185" s="149" t="s">
        <v>20</v>
      </c>
      <c r="AY185" s="18" t="s">
        <v>184</v>
      </c>
      <c r="BE185" s="150">
        <f>IF(N185="základní",J185,0)</f>
        <v>1327.99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8" t="s">
        <v>88</v>
      </c>
      <c r="BK185" s="150">
        <f>ROUND(I185*H185,2)</f>
        <v>1327.99</v>
      </c>
      <c r="BL185" s="18" t="s">
        <v>191</v>
      </c>
      <c r="BM185" s="149" t="s">
        <v>302</v>
      </c>
    </row>
    <row r="186" spans="2:65" s="1" customFormat="1" x14ac:dyDescent="0.3">
      <c r="B186" s="33"/>
      <c r="D186" s="151" t="s">
        <v>193</v>
      </c>
      <c r="F186" s="152" t="s">
        <v>303</v>
      </c>
      <c r="I186" s="153"/>
      <c r="L186" s="33"/>
      <c r="M186" s="154"/>
      <c r="T186" s="57"/>
      <c r="AT186" s="18" t="s">
        <v>193</v>
      </c>
      <c r="AU186" s="18" t="s">
        <v>20</v>
      </c>
    </row>
    <row r="187" spans="2:65" s="11" customFormat="1" ht="22.9" customHeight="1" x14ac:dyDescent="0.2">
      <c r="B187" s="127"/>
      <c r="D187" s="128" t="s">
        <v>80</v>
      </c>
      <c r="E187" s="136" t="s">
        <v>245</v>
      </c>
      <c r="F187" s="136" t="s">
        <v>304</v>
      </c>
      <c r="I187" s="171"/>
      <c r="J187" s="137">
        <f>BK187</f>
        <v>144198.13</v>
      </c>
      <c r="L187" s="127"/>
      <c r="M187" s="131"/>
      <c r="P187" s="132">
        <f>SUM(P188:P216)</f>
        <v>60.666730000000001</v>
      </c>
      <c r="R187" s="132">
        <f>SUM(R188:R216)</f>
        <v>45.206113600000002</v>
      </c>
      <c r="T187" s="133">
        <f>SUM(T188:T216)</f>
        <v>0</v>
      </c>
      <c r="AR187" s="128" t="s">
        <v>88</v>
      </c>
      <c r="AT187" s="134" t="s">
        <v>80</v>
      </c>
      <c r="AU187" s="134" t="s">
        <v>88</v>
      </c>
      <c r="AY187" s="128" t="s">
        <v>184</v>
      </c>
      <c r="BK187" s="135">
        <f>SUM(BK188:BK216)</f>
        <v>144198.13</v>
      </c>
    </row>
    <row r="188" spans="2:65" s="1" customFormat="1" ht="16.5" customHeight="1" x14ac:dyDescent="0.3">
      <c r="B188" s="33"/>
      <c r="C188" s="138" t="s">
        <v>305</v>
      </c>
      <c r="D188" s="138" t="s">
        <v>186</v>
      </c>
      <c r="E188" s="139" t="s">
        <v>306</v>
      </c>
      <c r="F188" s="140" t="s">
        <v>307</v>
      </c>
      <c r="G188" s="141" t="s">
        <v>210</v>
      </c>
      <c r="H188" s="142">
        <v>55.4</v>
      </c>
      <c r="I188" s="143">
        <v>414.33</v>
      </c>
      <c r="J188" s="144">
        <f>ROUND(I188*H188,2)</f>
        <v>22953.88</v>
      </c>
      <c r="K188" s="140" t="s">
        <v>190</v>
      </c>
      <c r="L188" s="33"/>
      <c r="M188" s="145" t="s">
        <v>1</v>
      </c>
      <c r="N188" s="146" t="s">
        <v>47</v>
      </c>
      <c r="O188" s="147">
        <v>0.26800000000000002</v>
      </c>
      <c r="P188" s="147">
        <f>O188*H188</f>
        <v>14.847200000000001</v>
      </c>
      <c r="Q188" s="147">
        <v>0.15540000000000001</v>
      </c>
      <c r="R188" s="147">
        <f>Q188*H188</f>
        <v>8.609160000000001</v>
      </c>
      <c r="S188" s="147">
        <v>0</v>
      </c>
      <c r="T188" s="148">
        <f>S188*H188</f>
        <v>0</v>
      </c>
      <c r="AR188" s="149" t="s">
        <v>191</v>
      </c>
      <c r="AT188" s="149" t="s">
        <v>186</v>
      </c>
      <c r="AU188" s="149" t="s">
        <v>20</v>
      </c>
      <c r="AY188" s="18" t="s">
        <v>184</v>
      </c>
      <c r="BE188" s="150">
        <f>IF(N188="základní",J188,0)</f>
        <v>22953.88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8" t="s">
        <v>88</v>
      </c>
      <c r="BK188" s="150">
        <f>ROUND(I188*H188,2)</f>
        <v>22953.88</v>
      </c>
      <c r="BL188" s="18" t="s">
        <v>191</v>
      </c>
      <c r="BM188" s="149" t="s">
        <v>308</v>
      </c>
    </row>
    <row r="189" spans="2:65" s="1" customFormat="1" x14ac:dyDescent="0.3">
      <c r="B189" s="33"/>
      <c r="D189" s="151" t="s">
        <v>193</v>
      </c>
      <c r="F189" s="152" t="s">
        <v>309</v>
      </c>
      <c r="I189" s="153"/>
      <c r="L189" s="33"/>
      <c r="M189" s="154"/>
      <c r="T189" s="57"/>
      <c r="AT189" s="18" t="s">
        <v>193</v>
      </c>
      <c r="AU189" s="18" t="s">
        <v>20</v>
      </c>
    </row>
    <row r="190" spans="2:65" s="12" customFormat="1" ht="11.25" x14ac:dyDescent="0.3">
      <c r="B190" s="155"/>
      <c r="D190" s="156" t="s">
        <v>195</v>
      </c>
      <c r="E190" s="157" t="s">
        <v>1</v>
      </c>
      <c r="F190" s="158" t="s">
        <v>310</v>
      </c>
      <c r="H190" s="159">
        <v>55.4</v>
      </c>
      <c r="I190" s="160"/>
      <c r="J190" s="182"/>
      <c r="L190" s="155"/>
      <c r="M190" s="161"/>
      <c r="T190" s="162"/>
      <c r="AT190" s="157" t="s">
        <v>195</v>
      </c>
      <c r="AU190" s="157" t="s">
        <v>20</v>
      </c>
      <c r="AV190" s="12" t="s">
        <v>20</v>
      </c>
      <c r="AW190" s="12" t="s">
        <v>37</v>
      </c>
      <c r="AX190" s="12" t="s">
        <v>88</v>
      </c>
      <c r="AY190" s="157" t="s">
        <v>184</v>
      </c>
    </row>
    <row r="191" spans="2:65" s="1" customFormat="1" ht="16.5" customHeight="1" x14ac:dyDescent="0.3">
      <c r="B191" s="33"/>
      <c r="C191" s="172" t="s">
        <v>311</v>
      </c>
      <c r="D191" s="172" t="s">
        <v>271</v>
      </c>
      <c r="E191" s="173" t="s">
        <v>312</v>
      </c>
      <c r="F191" s="174" t="s">
        <v>313</v>
      </c>
      <c r="G191" s="175" t="s">
        <v>210</v>
      </c>
      <c r="H191" s="176">
        <v>41.350999999999999</v>
      </c>
      <c r="I191" s="177">
        <v>182.84</v>
      </c>
      <c r="J191" s="178">
        <f>ROUND(I191*H191,2)</f>
        <v>7560.62</v>
      </c>
      <c r="K191" s="174" t="s">
        <v>190</v>
      </c>
      <c r="L191" s="179"/>
      <c r="M191" s="180" t="s">
        <v>1</v>
      </c>
      <c r="N191" s="181" t="s">
        <v>47</v>
      </c>
      <c r="O191" s="147">
        <v>0</v>
      </c>
      <c r="P191" s="147">
        <f>O191*H191</f>
        <v>0</v>
      </c>
      <c r="Q191" s="147">
        <v>0.08</v>
      </c>
      <c r="R191" s="147">
        <f>Q191*H191</f>
        <v>3.3080799999999999</v>
      </c>
      <c r="S191" s="147">
        <v>0</v>
      </c>
      <c r="T191" s="148">
        <f>S191*H191</f>
        <v>0</v>
      </c>
      <c r="AR191" s="149" t="s">
        <v>239</v>
      </c>
      <c r="AT191" s="149" t="s">
        <v>271</v>
      </c>
      <c r="AU191" s="149" t="s">
        <v>20</v>
      </c>
      <c r="AY191" s="18" t="s">
        <v>184</v>
      </c>
      <c r="BE191" s="150">
        <f>IF(N191="základní",J191,0)</f>
        <v>7560.62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8" t="s">
        <v>88</v>
      </c>
      <c r="BK191" s="150">
        <f>ROUND(I191*H191,2)</f>
        <v>7560.62</v>
      </c>
      <c r="BL191" s="18" t="s">
        <v>191</v>
      </c>
      <c r="BM191" s="149" t="s">
        <v>314</v>
      </c>
    </row>
    <row r="192" spans="2:65" s="12" customFormat="1" ht="11.25" x14ac:dyDescent="0.3">
      <c r="B192" s="155"/>
      <c r="D192" s="156" t="s">
        <v>195</v>
      </c>
      <c r="E192" s="157" t="s">
        <v>1</v>
      </c>
      <c r="F192" s="158" t="s">
        <v>315</v>
      </c>
      <c r="H192" s="159">
        <v>40.54</v>
      </c>
      <c r="I192" s="160"/>
      <c r="L192" s="155"/>
      <c r="M192" s="161"/>
      <c r="T192" s="162"/>
      <c r="AT192" s="157" t="s">
        <v>195</v>
      </c>
      <c r="AU192" s="157" t="s">
        <v>20</v>
      </c>
      <c r="AV192" s="12" t="s">
        <v>20</v>
      </c>
      <c r="AW192" s="12" t="s">
        <v>37</v>
      </c>
      <c r="AX192" s="12" t="s">
        <v>81</v>
      </c>
      <c r="AY192" s="157" t="s">
        <v>184</v>
      </c>
    </row>
    <row r="193" spans="2:65" s="12" customFormat="1" ht="11.25" x14ac:dyDescent="0.3">
      <c r="B193" s="155"/>
      <c r="D193" s="156" t="s">
        <v>195</v>
      </c>
      <c r="E193" s="157" t="s">
        <v>1</v>
      </c>
      <c r="F193" s="183" t="s">
        <v>316</v>
      </c>
      <c r="H193" s="159">
        <v>41.350999999999999</v>
      </c>
      <c r="I193" s="160"/>
      <c r="L193" s="155"/>
      <c r="M193" s="161"/>
      <c r="T193" s="162"/>
      <c r="AT193" s="157" t="s">
        <v>195</v>
      </c>
      <c r="AU193" s="157" t="s">
        <v>20</v>
      </c>
      <c r="AV193" s="12" t="s">
        <v>20</v>
      </c>
      <c r="AW193" s="12" t="s">
        <v>37</v>
      </c>
      <c r="AX193" s="12" t="s">
        <v>88</v>
      </c>
      <c r="AY193" s="157" t="s">
        <v>184</v>
      </c>
    </row>
    <row r="194" spans="2:65" s="1" customFormat="1" ht="16.5" customHeight="1" x14ac:dyDescent="0.3">
      <c r="B194" s="33"/>
      <c r="C194" s="172" t="s">
        <v>6</v>
      </c>
      <c r="D194" s="172" t="s">
        <v>271</v>
      </c>
      <c r="E194" s="173" t="s">
        <v>317</v>
      </c>
      <c r="F194" s="174" t="s">
        <v>318</v>
      </c>
      <c r="G194" s="175" t="s">
        <v>210</v>
      </c>
      <c r="H194" s="176">
        <v>1.4690000000000001</v>
      </c>
      <c r="I194" s="177">
        <v>228.36</v>
      </c>
      <c r="J194" s="178">
        <f>ROUND(I194*H194,2)</f>
        <v>335.46</v>
      </c>
      <c r="K194" s="174" t="s">
        <v>190</v>
      </c>
      <c r="L194" s="179"/>
      <c r="M194" s="180" t="s">
        <v>1</v>
      </c>
      <c r="N194" s="181" t="s">
        <v>47</v>
      </c>
      <c r="O194" s="147">
        <v>0</v>
      </c>
      <c r="P194" s="147">
        <f>O194*H194</f>
        <v>0</v>
      </c>
      <c r="Q194" s="147">
        <v>0.04</v>
      </c>
      <c r="R194" s="147">
        <f>Q194*H194</f>
        <v>5.8760000000000007E-2</v>
      </c>
      <c r="S194" s="147">
        <v>0</v>
      </c>
      <c r="T194" s="148">
        <f>S194*H194</f>
        <v>0</v>
      </c>
      <c r="AR194" s="149" t="s">
        <v>239</v>
      </c>
      <c r="AT194" s="149" t="s">
        <v>271</v>
      </c>
      <c r="AU194" s="149" t="s">
        <v>20</v>
      </c>
      <c r="AY194" s="18" t="s">
        <v>184</v>
      </c>
      <c r="BE194" s="150">
        <f>IF(N194="základní",J194,0)</f>
        <v>335.46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8" t="s">
        <v>88</v>
      </c>
      <c r="BK194" s="150">
        <f>ROUND(I194*H194,2)</f>
        <v>335.46</v>
      </c>
      <c r="BL194" s="18" t="s">
        <v>191</v>
      </c>
      <c r="BM194" s="149" t="s">
        <v>319</v>
      </c>
    </row>
    <row r="195" spans="2:65" s="12" customFormat="1" ht="11.25" x14ac:dyDescent="0.3">
      <c r="B195" s="155"/>
      <c r="D195" s="156" t="s">
        <v>195</v>
      </c>
      <c r="E195" s="157" t="s">
        <v>1</v>
      </c>
      <c r="F195" s="158" t="s">
        <v>320</v>
      </c>
      <c r="H195" s="159">
        <v>1.44</v>
      </c>
      <c r="I195" s="160"/>
      <c r="L195" s="155"/>
      <c r="M195" s="161"/>
      <c r="T195" s="162"/>
      <c r="AT195" s="157" t="s">
        <v>195</v>
      </c>
      <c r="AU195" s="157" t="s">
        <v>20</v>
      </c>
      <c r="AV195" s="12" t="s">
        <v>20</v>
      </c>
      <c r="AW195" s="12" t="s">
        <v>37</v>
      </c>
      <c r="AX195" s="12" t="s">
        <v>81</v>
      </c>
      <c r="AY195" s="157" t="s">
        <v>184</v>
      </c>
    </row>
    <row r="196" spans="2:65" s="12" customFormat="1" ht="11.25" x14ac:dyDescent="0.3">
      <c r="B196" s="155"/>
      <c r="D196" s="156" t="s">
        <v>195</v>
      </c>
      <c r="E196" s="157" t="s">
        <v>1</v>
      </c>
      <c r="F196" s="158" t="s">
        <v>321</v>
      </c>
      <c r="H196" s="159">
        <v>1.4690000000000001</v>
      </c>
      <c r="I196" s="160"/>
      <c r="L196" s="155"/>
      <c r="M196" s="161"/>
      <c r="T196" s="162"/>
      <c r="AT196" s="157" t="s">
        <v>195</v>
      </c>
      <c r="AU196" s="157" t="s">
        <v>20</v>
      </c>
      <c r="AV196" s="12" t="s">
        <v>20</v>
      </c>
      <c r="AW196" s="12" t="s">
        <v>37</v>
      </c>
      <c r="AX196" s="12" t="s">
        <v>88</v>
      </c>
      <c r="AY196" s="157" t="s">
        <v>184</v>
      </c>
    </row>
    <row r="197" spans="2:65" s="1" customFormat="1" ht="16.5" customHeight="1" x14ac:dyDescent="0.3">
      <c r="B197" s="33"/>
      <c r="C197" s="172" t="s">
        <v>322</v>
      </c>
      <c r="D197" s="172" t="s">
        <v>271</v>
      </c>
      <c r="E197" s="173" t="s">
        <v>323</v>
      </c>
      <c r="F197" s="174" t="s">
        <v>324</v>
      </c>
      <c r="G197" s="175" t="s">
        <v>210</v>
      </c>
      <c r="H197" s="176">
        <v>10.628</v>
      </c>
      <c r="I197" s="177">
        <v>143.6</v>
      </c>
      <c r="J197" s="178">
        <f>ROUND(I197*H197,2)</f>
        <v>1526.18</v>
      </c>
      <c r="K197" s="174" t="s">
        <v>190</v>
      </c>
      <c r="L197" s="179"/>
      <c r="M197" s="180" t="s">
        <v>1</v>
      </c>
      <c r="N197" s="181" t="s">
        <v>47</v>
      </c>
      <c r="O197" s="147">
        <v>0</v>
      </c>
      <c r="P197" s="147">
        <f>O197*H197</f>
        <v>0</v>
      </c>
      <c r="Q197" s="147">
        <v>4.8300000000000003E-2</v>
      </c>
      <c r="R197" s="147">
        <f>Q197*H197</f>
        <v>0.51333240000000002</v>
      </c>
      <c r="S197" s="147">
        <v>0</v>
      </c>
      <c r="T197" s="148">
        <f>S197*H197</f>
        <v>0</v>
      </c>
      <c r="AR197" s="149" t="s">
        <v>239</v>
      </c>
      <c r="AT197" s="149" t="s">
        <v>271</v>
      </c>
      <c r="AU197" s="149" t="s">
        <v>20</v>
      </c>
      <c r="AY197" s="18" t="s">
        <v>184</v>
      </c>
      <c r="BE197" s="150">
        <f>IF(N197="základní",J197,0)</f>
        <v>1526.18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8" t="s">
        <v>88</v>
      </c>
      <c r="BK197" s="150">
        <f>ROUND(I197*H197,2)</f>
        <v>1526.18</v>
      </c>
      <c r="BL197" s="18" t="s">
        <v>191</v>
      </c>
      <c r="BM197" s="149" t="s">
        <v>325</v>
      </c>
    </row>
    <row r="198" spans="2:65" s="12" customFormat="1" ht="11.25" x14ac:dyDescent="0.3">
      <c r="B198" s="155"/>
      <c r="D198" s="156" t="s">
        <v>195</v>
      </c>
      <c r="E198" s="157" t="s">
        <v>1</v>
      </c>
      <c r="F198" s="158" t="s">
        <v>326</v>
      </c>
      <c r="H198" s="159">
        <v>10.42</v>
      </c>
      <c r="I198" s="160"/>
      <c r="L198" s="155"/>
      <c r="M198" s="161"/>
      <c r="T198" s="162"/>
      <c r="AT198" s="157" t="s">
        <v>195</v>
      </c>
      <c r="AU198" s="157" t="s">
        <v>20</v>
      </c>
      <c r="AV198" s="12" t="s">
        <v>20</v>
      </c>
      <c r="AW198" s="12" t="s">
        <v>37</v>
      </c>
      <c r="AX198" s="12" t="s">
        <v>81</v>
      </c>
      <c r="AY198" s="157" t="s">
        <v>184</v>
      </c>
    </row>
    <row r="199" spans="2:65" s="12" customFormat="1" ht="11.25" x14ac:dyDescent="0.3">
      <c r="B199" s="155"/>
      <c r="D199" s="156" t="s">
        <v>195</v>
      </c>
      <c r="E199" s="157" t="s">
        <v>1</v>
      </c>
      <c r="F199" s="158" t="s">
        <v>327</v>
      </c>
      <c r="H199" s="159">
        <v>10.628</v>
      </c>
      <c r="I199" s="160"/>
      <c r="L199" s="155"/>
      <c r="M199" s="161"/>
      <c r="T199" s="162"/>
      <c r="AT199" s="157" t="s">
        <v>195</v>
      </c>
      <c r="AU199" s="157" t="s">
        <v>20</v>
      </c>
      <c r="AV199" s="12" t="s">
        <v>20</v>
      </c>
      <c r="AW199" s="12" t="s">
        <v>37</v>
      </c>
      <c r="AX199" s="12" t="s">
        <v>88</v>
      </c>
      <c r="AY199" s="157" t="s">
        <v>184</v>
      </c>
    </row>
    <row r="200" spans="2:65" s="1" customFormat="1" ht="16.5" customHeight="1" x14ac:dyDescent="0.3">
      <c r="B200" s="33"/>
      <c r="C200" s="172" t="s">
        <v>328</v>
      </c>
      <c r="D200" s="172" t="s">
        <v>271</v>
      </c>
      <c r="E200" s="173" t="s">
        <v>329</v>
      </c>
      <c r="F200" s="174" t="s">
        <v>330</v>
      </c>
      <c r="G200" s="175" t="s">
        <v>210</v>
      </c>
      <c r="H200" s="176">
        <v>3.06</v>
      </c>
      <c r="I200" s="177">
        <v>404.13</v>
      </c>
      <c r="J200" s="178">
        <f>ROUND(I200*H200,2)</f>
        <v>1236.6400000000001</v>
      </c>
      <c r="K200" s="174" t="s">
        <v>190</v>
      </c>
      <c r="L200" s="179"/>
      <c r="M200" s="180" t="s">
        <v>1</v>
      </c>
      <c r="N200" s="181" t="s">
        <v>47</v>
      </c>
      <c r="O200" s="147">
        <v>0</v>
      </c>
      <c r="P200" s="147">
        <f>O200*H200</f>
        <v>0</v>
      </c>
      <c r="Q200" s="147">
        <v>6.5670000000000006E-2</v>
      </c>
      <c r="R200" s="147">
        <f>Q200*H200</f>
        <v>0.20095020000000002</v>
      </c>
      <c r="S200" s="147">
        <v>0</v>
      </c>
      <c r="T200" s="148">
        <f>S200*H200</f>
        <v>0</v>
      </c>
      <c r="AR200" s="149" t="s">
        <v>239</v>
      </c>
      <c r="AT200" s="149" t="s">
        <v>271</v>
      </c>
      <c r="AU200" s="149" t="s">
        <v>20</v>
      </c>
      <c r="AY200" s="18" t="s">
        <v>184</v>
      </c>
      <c r="BE200" s="150">
        <f>IF(N200="základní",J200,0)</f>
        <v>1236.6400000000001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8" t="s">
        <v>88</v>
      </c>
      <c r="BK200" s="150">
        <f>ROUND(I200*H200,2)</f>
        <v>1236.6400000000001</v>
      </c>
      <c r="BL200" s="18" t="s">
        <v>191</v>
      </c>
      <c r="BM200" s="149" t="s">
        <v>331</v>
      </c>
    </row>
    <row r="201" spans="2:65" s="12" customFormat="1" ht="11.25" x14ac:dyDescent="0.3">
      <c r="B201" s="155"/>
      <c r="D201" s="156" t="s">
        <v>195</v>
      </c>
      <c r="E201" s="157" t="s">
        <v>1</v>
      </c>
      <c r="F201" s="158" t="s">
        <v>332</v>
      </c>
      <c r="H201" s="159">
        <v>3</v>
      </c>
      <c r="I201" s="160"/>
      <c r="L201" s="155"/>
      <c r="M201" s="161"/>
      <c r="T201" s="162"/>
      <c r="AT201" s="157" t="s">
        <v>195</v>
      </c>
      <c r="AU201" s="157" t="s">
        <v>20</v>
      </c>
      <c r="AV201" s="12" t="s">
        <v>20</v>
      </c>
      <c r="AW201" s="12" t="s">
        <v>37</v>
      </c>
      <c r="AX201" s="12" t="s">
        <v>81</v>
      </c>
      <c r="AY201" s="157" t="s">
        <v>184</v>
      </c>
    </row>
    <row r="202" spans="2:65" s="12" customFormat="1" ht="11.25" x14ac:dyDescent="0.3">
      <c r="B202" s="155"/>
      <c r="D202" s="156" t="s">
        <v>195</v>
      </c>
      <c r="E202" s="157" t="s">
        <v>1</v>
      </c>
      <c r="F202" s="158" t="s">
        <v>333</v>
      </c>
      <c r="H202" s="159">
        <v>3.06</v>
      </c>
      <c r="I202" s="160"/>
      <c r="L202" s="155"/>
      <c r="M202" s="161"/>
      <c r="T202" s="162"/>
      <c r="AT202" s="157" t="s">
        <v>195</v>
      </c>
      <c r="AU202" s="157" t="s">
        <v>20</v>
      </c>
      <c r="AV202" s="12" t="s">
        <v>20</v>
      </c>
      <c r="AW202" s="12" t="s">
        <v>37</v>
      </c>
      <c r="AX202" s="12" t="s">
        <v>88</v>
      </c>
      <c r="AY202" s="157" t="s">
        <v>184</v>
      </c>
    </row>
    <row r="203" spans="2:65" s="1" customFormat="1" ht="16.5" customHeight="1" x14ac:dyDescent="0.3">
      <c r="B203" s="33"/>
      <c r="C203" s="138" t="s">
        <v>334</v>
      </c>
      <c r="D203" s="138" t="s">
        <v>186</v>
      </c>
      <c r="E203" s="139" t="s">
        <v>335</v>
      </c>
      <c r="F203" s="140" t="s">
        <v>336</v>
      </c>
      <c r="G203" s="141" t="s">
        <v>210</v>
      </c>
      <c r="H203" s="142">
        <v>185.27</v>
      </c>
      <c r="I203" s="143">
        <v>414.33</v>
      </c>
      <c r="J203" s="144">
        <f>ROUND(I203*H203,2)</f>
        <v>76762.92</v>
      </c>
      <c r="K203" s="140" t="s">
        <v>190</v>
      </c>
      <c r="L203" s="33"/>
      <c r="M203" s="145" t="s">
        <v>1</v>
      </c>
      <c r="N203" s="146" t="s">
        <v>47</v>
      </c>
      <c r="O203" s="147">
        <v>0.23899999999999999</v>
      </c>
      <c r="P203" s="147">
        <f>O203*H203</f>
        <v>44.279530000000001</v>
      </c>
      <c r="Q203" s="147">
        <v>0.1295</v>
      </c>
      <c r="R203" s="147">
        <f>Q203*H203</f>
        <v>23.992465000000003</v>
      </c>
      <c r="S203" s="147">
        <v>0</v>
      </c>
      <c r="T203" s="148">
        <f>S203*H203</f>
        <v>0</v>
      </c>
      <c r="AR203" s="149" t="s">
        <v>191</v>
      </c>
      <c r="AT203" s="149" t="s">
        <v>186</v>
      </c>
      <c r="AU203" s="149" t="s">
        <v>20</v>
      </c>
      <c r="AY203" s="18" t="s">
        <v>184</v>
      </c>
      <c r="BE203" s="150">
        <f>IF(N203="základní",J203,0)</f>
        <v>76762.92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8" t="s">
        <v>88</v>
      </c>
      <c r="BK203" s="150">
        <f>ROUND(I203*H203,2)</f>
        <v>76762.92</v>
      </c>
      <c r="BL203" s="18" t="s">
        <v>191</v>
      </c>
      <c r="BM203" s="149" t="s">
        <v>337</v>
      </c>
    </row>
    <row r="204" spans="2:65" s="1" customFormat="1" x14ac:dyDescent="0.3">
      <c r="B204" s="33"/>
      <c r="D204" s="151" t="s">
        <v>193</v>
      </c>
      <c r="F204" s="152" t="s">
        <v>338</v>
      </c>
      <c r="I204" s="153"/>
      <c r="L204" s="33"/>
      <c r="M204" s="154"/>
      <c r="T204" s="57"/>
      <c r="AT204" s="18" t="s">
        <v>193</v>
      </c>
      <c r="AU204" s="18" t="s">
        <v>20</v>
      </c>
    </row>
    <row r="205" spans="2:65" s="12" customFormat="1" ht="11.25" x14ac:dyDescent="0.3">
      <c r="B205" s="155"/>
      <c r="D205" s="156" t="s">
        <v>195</v>
      </c>
      <c r="E205" s="157" t="s">
        <v>1</v>
      </c>
      <c r="F205" s="158" t="s">
        <v>339</v>
      </c>
      <c r="H205" s="159">
        <v>185.27</v>
      </c>
      <c r="I205" s="160"/>
      <c r="L205" s="155"/>
      <c r="M205" s="161"/>
      <c r="T205" s="162"/>
      <c r="AT205" s="157" t="s">
        <v>195</v>
      </c>
      <c r="AU205" s="157" t="s">
        <v>20</v>
      </c>
      <c r="AV205" s="12" t="s">
        <v>20</v>
      </c>
      <c r="AW205" s="12" t="s">
        <v>37</v>
      </c>
      <c r="AX205" s="12" t="s">
        <v>88</v>
      </c>
      <c r="AY205" s="157" t="s">
        <v>184</v>
      </c>
    </row>
    <row r="206" spans="2:65" s="1" customFormat="1" ht="16.5" customHeight="1" x14ac:dyDescent="0.3">
      <c r="B206" s="33"/>
      <c r="C206" s="172" t="s">
        <v>340</v>
      </c>
      <c r="D206" s="172" t="s">
        <v>271</v>
      </c>
      <c r="E206" s="173" t="s">
        <v>341</v>
      </c>
      <c r="F206" s="174" t="s">
        <v>342</v>
      </c>
      <c r="G206" s="175" t="s">
        <v>210</v>
      </c>
      <c r="H206" s="176">
        <v>182.47800000000001</v>
      </c>
      <c r="I206" s="177">
        <v>174.1</v>
      </c>
      <c r="J206" s="178">
        <f>ROUND(I206*H206,2)</f>
        <v>31769.42</v>
      </c>
      <c r="K206" s="174" t="s">
        <v>190</v>
      </c>
      <c r="L206" s="179"/>
      <c r="M206" s="180" t="s">
        <v>1</v>
      </c>
      <c r="N206" s="181" t="s">
        <v>47</v>
      </c>
      <c r="O206" s="147">
        <v>0</v>
      </c>
      <c r="P206" s="147">
        <f>O206*H206</f>
        <v>0</v>
      </c>
      <c r="Q206" s="147">
        <v>4.4999999999999998E-2</v>
      </c>
      <c r="R206" s="147">
        <f>Q206*H206</f>
        <v>8.2115100000000005</v>
      </c>
      <c r="S206" s="147">
        <v>0</v>
      </c>
      <c r="T206" s="148">
        <f>S206*H206</f>
        <v>0</v>
      </c>
      <c r="AR206" s="149" t="s">
        <v>239</v>
      </c>
      <c r="AT206" s="149" t="s">
        <v>271</v>
      </c>
      <c r="AU206" s="149" t="s">
        <v>20</v>
      </c>
      <c r="AY206" s="18" t="s">
        <v>184</v>
      </c>
      <c r="BE206" s="150">
        <f>IF(N206="základní",J206,0)</f>
        <v>31769.42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8" t="s">
        <v>88</v>
      </c>
      <c r="BK206" s="150">
        <f>ROUND(I206*H206,2)</f>
        <v>31769.42</v>
      </c>
      <c r="BL206" s="18" t="s">
        <v>191</v>
      </c>
      <c r="BM206" s="149" t="s">
        <v>343</v>
      </c>
    </row>
    <row r="207" spans="2:65" s="12" customFormat="1" ht="33.75" x14ac:dyDescent="0.3">
      <c r="B207" s="155"/>
      <c r="D207" s="156" t="s">
        <v>195</v>
      </c>
      <c r="E207" s="157" t="s">
        <v>1</v>
      </c>
      <c r="F207" s="158" t="s">
        <v>344</v>
      </c>
      <c r="H207" s="159">
        <v>178.9</v>
      </c>
      <c r="I207" s="160"/>
      <c r="L207" s="155"/>
      <c r="M207" s="161"/>
      <c r="T207" s="162"/>
      <c r="AT207" s="157" t="s">
        <v>195</v>
      </c>
      <c r="AU207" s="157" t="s">
        <v>20</v>
      </c>
      <c r="AV207" s="12" t="s">
        <v>20</v>
      </c>
      <c r="AW207" s="12" t="s">
        <v>37</v>
      </c>
      <c r="AX207" s="12" t="s">
        <v>81</v>
      </c>
      <c r="AY207" s="157" t="s">
        <v>184</v>
      </c>
    </row>
    <row r="208" spans="2:65" s="12" customFormat="1" ht="11.25" x14ac:dyDescent="0.3">
      <c r="B208" s="155"/>
      <c r="D208" s="156" t="s">
        <v>195</v>
      </c>
      <c r="E208" s="157" t="s">
        <v>1</v>
      </c>
      <c r="F208" s="158" t="s">
        <v>345</v>
      </c>
      <c r="H208" s="159">
        <v>182.47800000000001</v>
      </c>
      <c r="I208" s="160"/>
      <c r="L208" s="155"/>
      <c r="M208" s="161"/>
      <c r="T208" s="162"/>
      <c r="AT208" s="157" t="s">
        <v>195</v>
      </c>
      <c r="AU208" s="157" t="s">
        <v>20</v>
      </c>
      <c r="AV208" s="12" t="s">
        <v>20</v>
      </c>
      <c r="AW208" s="12" t="s">
        <v>37</v>
      </c>
      <c r="AX208" s="12" t="s">
        <v>88</v>
      </c>
      <c r="AY208" s="157" t="s">
        <v>184</v>
      </c>
    </row>
    <row r="209" spans="2:65" s="1" customFormat="1" ht="16.5" customHeight="1" x14ac:dyDescent="0.3">
      <c r="B209" s="33"/>
      <c r="C209" s="172" t="s">
        <v>346</v>
      </c>
      <c r="D209" s="172" t="s">
        <v>271</v>
      </c>
      <c r="E209" s="173" t="s">
        <v>347</v>
      </c>
      <c r="F209" s="174" t="s">
        <v>348</v>
      </c>
      <c r="G209" s="175" t="s">
        <v>210</v>
      </c>
      <c r="H209" s="176">
        <v>6.4969999999999999</v>
      </c>
      <c r="I209" s="177">
        <v>151.44999999999999</v>
      </c>
      <c r="J209" s="178">
        <f>ROUND(I209*H209,2)</f>
        <v>983.97</v>
      </c>
      <c r="K209" s="174" t="s">
        <v>190</v>
      </c>
      <c r="L209" s="179"/>
      <c r="M209" s="180" t="s">
        <v>1</v>
      </c>
      <c r="N209" s="181" t="s">
        <v>47</v>
      </c>
      <c r="O209" s="147">
        <v>0</v>
      </c>
      <c r="P209" s="147">
        <f>O209*H209</f>
        <v>0</v>
      </c>
      <c r="Q209" s="147">
        <v>4.8000000000000001E-2</v>
      </c>
      <c r="R209" s="147">
        <f>Q209*H209</f>
        <v>0.31185600000000002</v>
      </c>
      <c r="S209" s="147">
        <v>0</v>
      </c>
      <c r="T209" s="148">
        <f>S209*H209</f>
        <v>0</v>
      </c>
      <c r="AR209" s="149" t="s">
        <v>239</v>
      </c>
      <c r="AT209" s="149" t="s">
        <v>271</v>
      </c>
      <c r="AU209" s="149" t="s">
        <v>20</v>
      </c>
      <c r="AY209" s="18" t="s">
        <v>184</v>
      </c>
      <c r="BE209" s="150">
        <f>IF(N209="základní",J209,0)</f>
        <v>983.97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8" t="s">
        <v>88</v>
      </c>
      <c r="BK209" s="150">
        <f>ROUND(I209*H209,2)</f>
        <v>983.97</v>
      </c>
      <c r="BL209" s="18" t="s">
        <v>191</v>
      </c>
      <c r="BM209" s="149" t="s">
        <v>349</v>
      </c>
    </row>
    <row r="210" spans="2:65" s="12" customFormat="1" ht="11.25" x14ac:dyDescent="0.3">
      <c r="B210" s="155"/>
      <c r="D210" s="156" t="s">
        <v>195</v>
      </c>
      <c r="E210" s="157" t="s">
        <v>1</v>
      </c>
      <c r="F210" s="158" t="s">
        <v>350</v>
      </c>
      <c r="H210" s="159">
        <v>1.57</v>
      </c>
      <c r="I210" s="160"/>
      <c r="L210" s="155"/>
      <c r="M210" s="161"/>
      <c r="T210" s="162"/>
      <c r="AT210" s="157" t="s">
        <v>195</v>
      </c>
      <c r="AU210" s="157" t="s">
        <v>20</v>
      </c>
      <c r="AV210" s="12" t="s">
        <v>20</v>
      </c>
      <c r="AW210" s="12" t="s">
        <v>37</v>
      </c>
      <c r="AX210" s="12" t="s">
        <v>81</v>
      </c>
      <c r="AY210" s="157" t="s">
        <v>184</v>
      </c>
    </row>
    <row r="211" spans="2:65" s="12" customFormat="1" ht="11.25" x14ac:dyDescent="0.3">
      <c r="B211" s="155"/>
      <c r="D211" s="156" t="s">
        <v>195</v>
      </c>
      <c r="E211" s="157" t="s">
        <v>1</v>
      </c>
      <c r="F211" s="158" t="s">
        <v>351</v>
      </c>
      <c r="H211" s="159">
        <v>4.8</v>
      </c>
      <c r="I211" s="160"/>
      <c r="L211" s="155"/>
      <c r="M211" s="161"/>
      <c r="T211" s="162"/>
      <c r="AT211" s="157" t="s">
        <v>195</v>
      </c>
      <c r="AU211" s="157" t="s">
        <v>20</v>
      </c>
      <c r="AV211" s="12" t="s">
        <v>20</v>
      </c>
      <c r="AW211" s="12" t="s">
        <v>37</v>
      </c>
      <c r="AX211" s="12" t="s">
        <v>81</v>
      </c>
      <c r="AY211" s="157" t="s">
        <v>184</v>
      </c>
    </row>
    <row r="212" spans="2:65" s="13" customFormat="1" ht="11.25" x14ac:dyDescent="0.3">
      <c r="B212" s="163"/>
      <c r="D212" s="156" t="s">
        <v>195</v>
      </c>
      <c r="E212" s="164" t="s">
        <v>1</v>
      </c>
      <c r="F212" s="165" t="s">
        <v>230</v>
      </c>
      <c r="H212" s="166">
        <v>6.37</v>
      </c>
      <c r="I212" s="167"/>
      <c r="L212" s="163"/>
      <c r="M212" s="168"/>
      <c r="T212" s="169"/>
      <c r="AT212" s="164" t="s">
        <v>195</v>
      </c>
      <c r="AU212" s="164" t="s">
        <v>20</v>
      </c>
      <c r="AV212" s="13" t="s">
        <v>191</v>
      </c>
      <c r="AW212" s="13" t="s">
        <v>37</v>
      </c>
      <c r="AX212" s="13" t="s">
        <v>81</v>
      </c>
      <c r="AY212" s="164" t="s">
        <v>184</v>
      </c>
    </row>
    <row r="213" spans="2:65" s="12" customFormat="1" ht="11.25" x14ac:dyDescent="0.3">
      <c r="B213" s="155"/>
      <c r="D213" s="156" t="s">
        <v>195</v>
      </c>
      <c r="E213" s="157" t="s">
        <v>1</v>
      </c>
      <c r="F213" s="158" t="s">
        <v>352</v>
      </c>
      <c r="H213" s="159">
        <v>6.4969999999999999</v>
      </c>
      <c r="I213" s="160"/>
      <c r="L213" s="155"/>
      <c r="M213" s="161"/>
      <c r="T213" s="162"/>
      <c r="AT213" s="157" t="s">
        <v>195</v>
      </c>
      <c r="AU213" s="157" t="s">
        <v>20</v>
      </c>
      <c r="AV213" s="12" t="s">
        <v>20</v>
      </c>
      <c r="AW213" s="12" t="s">
        <v>37</v>
      </c>
      <c r="AX213" s="12" t="s">
        <v>88</v>
      </c>
      <c r="AY213" s="157" t="s">
        <v>184</v>
      </c>
    </row>
    <row r="214" spans="2:65" s="1" customFormat="1" ht="16.5" customHeight="1" x14ac:dyDescent="0.3">
      <c r="B214" s="33"/>
      <c r="C214" s="138" t="s">
        <v>353</v>
      </c>
      <c r="D214" s="138" t="s">
        <v>186</v>
      </c>
      <c r="E214" s="139" t="s">
        <v>354</v>
      </c>
      <c r="F214" s="140" t="s">
        <v>355</v>
      </c>
      <c r="G214" s="141" t="s">
        <v>189</v>
      </c>
      <c r="H214" s="142">
        <v>7</v>
      </c>
      <c r="I214" s="143">
        <v>152.72</v>
      </c>
      <c r="J214" s="144">
        <f>ROUND(I214*H214,2)</f>
        <v>1069.04</v>
      </c>
      <c r="K214" s="140" t="s">
        <v>190</v>
      </c>
      <c r="L214" s="33"/>
      <c r="M214" s="145" t="s">
        <v>1</v>
      </c>
      <c r="N214" s="146" t="s">
        <v>47</v>
      </c>
      <c r="O214" s="147">
        <v>0.22</v>
      </c>
      <c r="P214" s="147">
        <f>O214*H214</f>
        <v>1.54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AR214" s="149" t="s">
        <v>191</v>
      </c>
      <c r="AT214" s="149" t="s">
        <v>186</v>
      </c>
      <c r="AU214" s="149" t="s">
        <v>20</v>
      </c>
      <c r="AY214" s="18" t="s">
        <v>184</v>
      </c>
      <c r="BE214" s="150">
        <f>IF(N214="základní",J214,0)</f>
        <v>1069.04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8" t="s">
        <v>88</v>
      </c>
      <c r="BK214" s="150">
        <f>ROUND(I214*H214,2)</f>
        <v>1069.04</v>
      </c>
      <c r="BL214" s="18" t="s">
        <v>191</v>
      </c>
      <c r="BM214" s="149" t="s">
        <v>356</v>
      </c>
    </row>
    <row r="215" spans="2:65" s="1" customFormat="1" x14ac:dyDescent="0.3">
      <c r="B215" s="33"/>
      <c r="D215" s="151" t="s">
        <v>193</v>
      </c>
      <c r="F215" s="152" t="s">
        <v>357</v>
      </c>
      <c r="I215" s="153"/>
      <c r="L215" s="33"/>
      <c r="M215" s="154"/>
      <c r="T215" s="57"/>
      <c r="AT215" s="18" t="s">
        <v>193</v>
      </c>
      <c r="AU215" s="18" t="s">
        <v>20</v>
      </c>
    </row>
    <row r="216" spans="2:65" s="12" customFormat="1" ht="11.25" x14ac:dyDescent="0.3">
      <c r="B216" s="155"/>
      <c r="D216" s="156" t="s">
        <v>195</v>
      </c>
      <c r="E216" s="157" t="s">
        <v>1</v>
      </c>
      <c r="F216" s="158" t="s">
        <v>196</v>
      </c>
      <c r="H216" s="159">
        <v>7</v>
      </c>
      <c r="I216" s="160"/>
      <c r="L216" s="155"/>
      <c r="M216" s="161"/>
      <c r="T216" s="162"/>
      <c r="AT216" s="157" t="s">
        <v>195</v>
      </c>
      <c r="AU216" s="157" t="s">
        <v>20</v>
      </c>
      <c r="AV216" s="12" t="s">
        <v>20</v>
      </c>
      <c r="AW216" s="12" t="s">
        <v>37</v>
      </c>
      <c r="AX216" s="12" t="s">
        <v>88</v>
      </c>
      <c r="AY216" s="157" t="s">
        <v>184</v>
      </c>
    </row>
    <row r="217" spans="2:65" s="11" customFormat="1" ht="22.9" customHeight="1" x14ac:dyDescent="0.2">
      <c r="B217" s="127"/>
      <c r="D217" s="128" t="s">
        <v>80</v>
      </c>
      <c r="E217" s="136" t="s">
        <v>358</v>
      </c>
      <c r="F217" s="136" t="s">
        <v>359</v>
      </c>
      <c r="I217" s="171"/>
      <c r="J217" s="137">
        <f>BK217</f>
        <v>293787.36</v>
      </c>
      <c r="L217" s="127"/>
      <c r="M217" s="131"/>
      <c r="P217" s="132">
        <f>SUM(P218:P226)</f>
        <v>957.85832799999991</v>
      </c>
      <c r="R217" s="132">
        <f>SUM(R218:R226)</f>
        <v>0</v>
      </c>
      <c r="T217" s="133">
        <f>SUM(T218:T226)</f>
        <v>0</v>
      </c>
      <c r="AR217" s="128" t="s">
        <v>88</v>
      </c>
      <c r="AT217" s="134" t="s">
        <v>80</v>
      </c>
      <c r="AU217" s="134" t="s">
        <v>88</v>
      </c>
      <c r="AY217" s="128" t="s">
        <v>184</v>
      </c>
      <c r="BK217" s="135">
        <f>SUM(BK218:BK226)</f>
        <v>293787.36</v>
      </c>
    </row>
    <row r="218" spans="2:65" s="1" customFormat="1" ht="16.5" customHeight="1" x14ac:dyDescent="0.3">
      <c r="B218" s="33"/>
      <c r="C218" s="138" t="s">
        <v>360</v>
      </c>
      <c r="D218" s="138" t="s">
        <v>186</v>
      </c>
      <c r="E218" s="139" t="s">
        <v>361</v>
      </c>
      <c r="F218" s="140" t="s">
        <v>362</v>
      </c>
      <c r="G218" s="141" t="s">
        <v>248</v>
      </c>
      <c r="H218" s="142">
        <v>968.72799999999995</v>
      </c>
      <c r="I218" s="143">
        <v>178.35</v>
      </c>
      <c r="J218" s="144">
        <f>ROUND(I218*H218,2)</f>
        <v>172772.64</v>
      </c>
      <c r="K218" s="140" t="s">
        <v>190</v>
      </c>
      <c r="L218" s="33"/>
      <c r="M218" s="145" t="s">
        <v>1</v>
      </c>
      <c r="N218" s="146" t="s">
        <v>47</v>
      </c>
      <c r="O218" s="147">
        <v>0.83499999999999996</v>
      </c>
      <c r="P218" s="147">
        <f>O218*H218</f>
        <v>808.88787999999988</v>
      </c>
      <c r="Q218" s="147">
        <v>0</v>
      </c>
      <c r="R218" s="147">
        <f>Q218*H218</f>
        <v>0</v>
      </c>
      <c r="S218" s="147">
        <v>0</v>
      </c>
      <c r="T218" s="148">
        <f>S218*H218</f>
        <v>0</v>
      </c>
      <c r="AR218" s="149" t="s">
        <v>191</v>
      </c>
      <c r="AT218" s="149" t="s">
        <v>186</v>
      </c>
      <c r="AU218" s="149" t="s">
        <v>20</v>
      </c>
      <c r="AY218" s="18" t="s">
        <v>184</v>
      </c>
      <c r="BE218" s="150">
        <f>IF(N218="základní",J218,0)</f>
        <v>172772.64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8" t="s">
        <v>88</v>
      </c>
      <c r="BK218" s="150">
        <f>ROUND(I218*H218,2)</f>
        <v>172772.64</v>
      </c>
      <c r="BL218" s="18" t="s">
        <v>191</v>
      </c>
      <c r="BM218" s="149" t="s">
        <v>363</v>
      </c>
    </row>
    <row r="219" spans="2:65" s="1" customFormat="1" x14ac:dyDescent="0.3">
      <c r="B219" s="33"/>
      <c r="D219" s="151" t="s">
        <v>193</v>
      </c>
      <c r="F219" s="152" t="s">
        <v>364</v>
      </c>
      <c r="I219" s="153"/>
      <c r="L219" s="33"/>
      <c r="M219" s="154"/>
      <c r="T219" s="57"/>
      <c r="AT219" s="18" t="s">
        <v>193</v>
      </c>
      <c r="AU219" s="18" t="s">
        <v>20</v>
      </c>
    </row>
    <row r="220" spans="2:65" s="1" customFormat="1" ht="19.5" x14ac:dyDescent="0.3">
      <c r="B220" s="33"/>
      <c r="D220" s="156" t="s">
        <v>236</v>
      </c>
      <c r="F220" s="170" t="s">
        <v>365</v>
      </c>
      <c r="I220" s="153"/>
      <c r="L220" s="33"/>
      <c r="M220" s="154"/>
      <c r="T220" s="57"/>
      <c r="AT220" s="18" t="s">
        <v>236</v>
      </c>
      <c r="AU220" s="18" t="s">
        <v>20</v>
      </c>
    </row>
    <row r="221" spans="2:65" s="12" customFormat="1" ht="11.25" x14ac:dyDescent="0.3">
      <c r="B221" s="155"/>
      <c r="D221" s="156" t="s">
        <v>195</v>
      </c>
      <c r="E221" s="157" t="s">
        <v>1</v>
      </c>
      <c r="F221" s="158" t="s">
        <v>366</v>
      </c>
      <c r="H221" s="159">
        <v>792.39599999999996</v>
      </c>
      <c r="I221" s="160"/>
      <c r="L221" s="155"/>
      <c r="M221" s="161"/>
      <c r="T221" s="162"/>
      <c r="AT221" s="157" t="s">
        <v>195</v>
      </c>
      <c r="AU221" s="157" t="s">
        <v>20</v>
      </c>
      <c r="AV221" s="12" t="s">
        <v>20</v>
      </c>
      <c r="AW221" s="12" t="s">
        <v>37</v>
      </c>
      <c r="AX221" s="12" t="s">
        <v>81</v>
      </c>
      <c r="AY221" s="157" t="s">
        <v>184</v>
      </c>
    </row>
    <row r="222" spans="2:65" s="12" customFormat="1" ht="11.25" x14ac:dyDescent="0.3">
      <c r="B222" s="155"/>
      <c r="D222" s="156" t="s">
        <v>195</v>
      </c>
      <c r="E222" s="157" t="s">
        <v>1</v>
      </c>
      <c r="F222" s="158" t="s">
        <v>367</v>
      </c>
      <c r="H222" s="159">
        <v>176.33199999999999</v>
      </c>
      <c r="I222" s="160"/>
      <c r="L222" s="155"/>
      <c r="M222" s="161"/>
      <c r="T222" s="162"/>
      <c r="AT222" s="157" t="s">
        <v>195</v>
      </c>
      <c r="AU222" s="157" t="s">
        <v>20</v>
      </c>
      <c r="AV222" s="12" t="s">
        <v>20</v>
      </c>
      <c r="AW222" s="12" t="s">
        <v>37</v>
      </c>
      <c r="AX222" s="12" t="s">
        <v>81</v>
      </c>
      <c r="AY222" s="157" t="s">
        <v>184</v>
      </c>
    </row>
    <row r="223" spans="2:65" s="13" customFormat="1" ht="11.25" x14ac:dyDescent="0.3">
      <c r="B223" s="163"/>
      <c r="D223" s="156" t="s">
        <v>195</v>
      </c>
      <c r="E223" s="164" t="s">
        <v>1</v>
      </c>
      <c r="F223" s="165" t="s">
        <v>230</v>
      </c>
      <c r="H223" s="166">
        <v>968.72799999999995</v>
      </c>
      <c r="I223" s="167"/>
      <c r="L223" s="163"/>
      <c r="M223" s="168"/>
      <c r="T223" s="169"/>
      <c r="AT223" s="164" t="s">
        <v>195</v>
      </c>
      <c r="AU223" s="164" t="s">
        <v>20</v>
      </c>
      <c r="AV223" s="13" t="s">
        <v>191</v>
      </c>
      <c r="AW223" s="13" t="s">
        <v>37</v>
      </c>
      <c r="AX223" s="13" t="s">
        <v>88</v>
      </c>
      <c r="AY223" s="164" t="s">
        <v>184</v>
      </c>
    </row>
    <row r="224" spans="2:65" s="1" customFormat="1" ht="16.5" customHeight="1" x14ac:dyDescent="0.3">
      <c r="B224" s="33"/>
      <c r="C224" s="138" t="s">
        <v>368</v>
      </c>
      <c r="D224" s="138" t="s">
        <v>186</v>
      </c>
      <c r="E224" s="139" t="s">
        <v>369</v>
      </c>
      <c r="F224" s="140" t="s">
        <v>370</v>
      </c>
      <c r="G224" s="141" t="s">
        <v>248</v>
      </c>
      <c r="H224" s="142">
        <v>396.19799999999998</v>
      </c>
      <c r="I224" s="143">
        <v>305.44</v>
      </c>
      <c r="J224" s="144">
        <f>ROUND(I224*H224,2)</f>
        <v>121014.72</v>
      </c>
      <c r="K224" s="140" t="s">
        <v>190</v>
      </c>
      <c r="L224" s="33"/>
      <c r="M224" s="145" t="s">
        <v>1</v>
      </c>
      <c r="N224" s="146" t="s">
        <v>47</v>
      </c>
      <c r="O224" s="147">
        <v>0.376</v>
      </c>
      <c r="P224" s="147">
        <f>O224*H224</f>
        <v>148.970448</v>
      </c>
      <c r="Q224" s="147">
        <v>0</v>
      </c>
      <c r="R224" s="147">
        <f>Q224*H224</f>
        <v>0</v>
      </c>
      <c r="S224" s="147">
        <v>0</v>
      </c>
      <c r="T224" s="148">
        <f>S224*H224</f>
        <v>0</v>
      </c>
      <c r="AR224" s="149" t="s">
        <v>191</v>
      </c>
      <c r="AT224" s="149" t="s">
        <v>186</v>
      </c>
      <c r="AU224" s="149" t="s">
        <v>20</v>
      </c>
      <c r="AY224" s="18" t="s">
        <v>184</v>
      </c>
      <c r="BE224" s="150">
        <f>IF(N224="základní",J224,0)</f>
        <v>121014.72</v>
      </c>
      <c r="BF224" s="150">
        <f>IF(N224="snížená",J224,0)</f>
        <v>0</v>
      </c>
      <c r="BG224" s="150">
        <f>IF(N224="zákl. přenesená",J224,0)</f>
        <v>0</v>
      </c>
      <c r="BH224" s="150">
        <f>IF(N224="sníž. přenesená",J224,0)</f>
        <v>0</v>
      </c>
      <c r="BI224" s="150">
        <f>IF(N224="nulová",J224,0)</f>
        <v>0</v>
      </c>
      <c r="BJ224" s="18" t="s">
        <v>88</v>
      </c>
      <c r="BK224" s="150">
        <f>ROUND(I224*H224,2)</f>
        <v>121014.72</v>
      </c>
      <c r="BL224" s="18" t="s">
        <v>191</v>
      </c>
      <c r="BM224" s="149" t="s">
        <v>371</v>
      </c>
    </row>
    <row r="225" spans="2:65" s="1" customFormat="1" x14ac:dyDescent="0.3">
      <c r="B225" s="33"/>
      <c r="D225" s="151" t="s">
        <v>193</v>
      </c>
      <c r="F225" s="152" t="s">
        <v>372</v>
      </c>
      <c r="I225" s="153"/>
      <c r="L225" s="33"/>
      <c r="M225" s="154"/>
      <c r="T225" s="57"/>
      <c r="AT225" s="18" t="s">
        <v>193</v>
      </c>
      <c r="AU225" s="18" t="s">
        <v>20</v>
      </c>
    </row>
    <row r="226" spans="2:65" s="12" customFormat="1" ht="11.25" x14ac:dyDescent="0.3">
      <c r="B226" s="155"/>
      <c r="D226" s="156" t="s">
        <v>195</v>
      </c>
      <c r="E226" s="157" t="s">
        <v>1</v>
      </c>
      <c r="F226" s="158" t="s">
        <v>373</v>
      </c>
      <c r="H226" s="159">
        <v>396.19799999999998</v>
      </c>
      <c r="I226" s="160"/>
      <c r="L226" s="155"/>
      <c r="M226" s="161"/>
      <c r="T226" s="162"/>
      <c r="AT226" s="157" t="s">
        <v>195</v>
      </c>
      <c r="AU226" s="157" t="s">
        <v>20</v>
      </c>
      <c r="AV226" s="12" t="s">
        <v>20</v>
      </c>
      <c r="AW226" s="12" t="s">
        <v>37</v>
      </c>
      <c r="AX226" s="12" t="s">
        <v>88</v>
      </c>
      <c r="AY226" s="157" t="s">
        <v>184</v>
      </c>
    </row>
    <row r="227" spans="2:65" s="11" customFormat="1" ht="22.9" customHeight="1" x14ac:dyDescent="0.2">
      <c r="B227" s="127"/>
      <c r="D227" s="128" t="s">
        <v>80</v>
      </c>
      <c r="E227" s="136" t="s">
        <v>374</v>
      </c>
      <c r="F227" s="136" t="s">
        <v>375</v>
      </c>
      <c r="I227" s="171"/>
      <c r="J227" s="137">
        <f>BK227</f>
        <v>186004.71</v>
      </c>
      <c r="L227" s="127"/>
      <c r="M227" s="131"/>
      <c r="P227" s="132">
        <f>SUM(P228:P229)</f>
        <v>241.762281</v>
      </c>
      <c r="R227" s="132">
        <f>SUM(R228:R229)</f>
        <v>0</v>
      </c>
      <c r="T227" s="133">
        <f>SUM(T228:T229)</f>
        <v>0</v>
      </c>
      <c r="AR227" s="128" t="s">
        <v>88</v>
      </c>
      <c r="AT227" s="134" t="s">
        <v>80</v>
      </c>
      <c r="AU227" s="134" t="s">
        <v>88</v>
      </c>
      <c r="AY227" s="128" t="s">
        <v>184</v>
      </c>
      <c r="BK227" s="135">
        <f>SUM(BK228:BK229)</f>
        <v>186004.71</v>
      </c>
    </row>
    <row r="228" spans="2:65" s="1" customFormat="1" ht="16.5" customHeight="1" x14ac:dyDescent="0.3">
      <c r="B228" s="33"/>
      <c r="C228" s="138" t="s">
        <v>376</v>
      </c>
      <c r="D228" s="138" t="s">
        <v>186</v>
      </c>
      <c r="E228" s="139" t="s">
        <v>377</v>
      </c>
      <c r="F228" s="140" t="s">
        <v>378</v>
      </c>
      <c r="G228" s="141" t="s">
        <v>248</v>
      </c>
      <c r="H228" s="142">
        <v>608.97299999999996</v>
      </c>
      <c r="I228" s="143">
        <v>305.44</v>
      </c>
      <c r="J228" s="144">
        <f>ROUND(I228*H228,2)</f>
        <v>186004.71</v>
      </c>
      <c r="K228" s="140" t="s">
        <v>190</v>
      </c>
      <c r="L228" s="33"/>
      <c r="M228" s="145" t="s">
        <v>1</v>
      </c>
      <c r="N228" s="146" t="s">
        <v>47</v>
      </c>
      <c r="O228" s="147">
        <v>0.39700000000000002</v>
      </c>
      <c r="P228" s="147">
        <f>O228*H228</f>
        <v>241.762281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49" t="s">
        <v>191</v>
      </c>
      <c r="AT228" s="149" t="s">
        <v>186</v>
      </c>
      <c r="AU228" s="149" t="s">
        <v>20</v>
      </c>
      <c r="AY228" s="18" t="s">
        <v>184</v>
      </c>
      <c r="BE228" s="150">
        <f>IF(N228="základní",J228,0)</f>
        <v>186004.71</v>
      </c>
      <c r="BF228" s="150">
        <f>IF(N228="snížená",J228,0)</f>
        <v>0</v>
      </c>
      <c r="BG228" s="150">
        <f>IF(N228="zákl. přenesená",J228,0)</f>
        <v>0</v>
      </c>
      <c r="BH228" s="150">
        <f>IF(N228="sníž. přenesená",J228,0)</f>
        <v>0</v>
      </c>
      <c r="BI228" s="150">
        <f>IF(N228="nulová",J228,0)</f>
        <v>0</v>
      </c>
      <c r="BJ228" s="18" t="s">
        <v>88</v>
      </c>
      <c r="BK228" s="150">
        <f>ROUND(I228*H228,2)</f>
        <v>186004.71</v>
      </c>
      <c r="BL228" s="18" t="s">
        <v>191</v>
      </c>
      <c r="BM228" s="149" t="s">
        <v>379</v>
      </c>
    </row>
    <row r="229" spans="2:65" s="1" customFormat="1" x14ac:dyDescent="0.3">
      <c r="B229" s="33"/>
      <c r="D229" s="151" t="s">
        <v>193</v>
      </c>
      <c r="F229" s="152" t="s">
        <v>380</v>
      </c>
      <c r="I229" s="153"/>
      <c r="L229" s="33"/>
      <c r="M229" s="154"/>
      <c r="T229" s="57"/>
      <c r="AT229" s="18" t="s">
        <v>193</v>
      </c>
      <c r="AU229" s="18" t="s">
        <v>20</v>
      </c>
    </row>
    <row r="230" spans="2:65" s="11" customFormat="1" ht="25.9" customHeight="1" x14ac:dyDescent="0.2">
      <c r="B230" s="127"/>
      <c r="D230" s="128" t="s">
        <v>80</v>
      </c>
      <c r="E230" s="129" t="s">
        <v>381</v>
      </c>
      <c r="F230" s="129" t="s">
        <v>382</v>
      </c>
      <c r="I230" s="171"/>
      <c r="J230" s="130">
        <f>BK230</f>
        <v>33160.829999999994</v>
      </c>
      <c r="L230" s="127"/>
      <c r="M230" s="131"/>
      <c r="P230" s="132">
        <f>P231</f>
        <v>18.911505999999999</v>
      </c>
      <c r="R230" s="132">
        <f>R231</f>
        <v>6.1686400000000009E-2</v>
      </c>
      <c r="T230" s="133">
        <f>T231</f>
        <v>0</v>
      </c>
      <c r="AR230" s="128" t="s">
        <v>20</v>
      </c>
      <c r="AT230" s="134" t="s">
        <v>80</v>
      </c>
      <c r="AU230" s="134" t="s">
        <v>81</v>
      </c>
      <c r="AY230" s="128" t="s">
        <v>184</v>
      </c>
      <c r="BK230" s="135">
        <f>BK231</f>
        <v>33160.829999999994</v>
      </c>
    </row>
    <row r="231" spans="2:65" s="11" customFormat="1" ht="22.9" customHeight="1" x14ac:dyDescent="0.2">
      <c r="B231" s="127"/>
      <c r="D231" s="128" t="s">
        <v>80</v>
      </c>
      <c r="E231" s="136" t="s">
        <v>383</v>
      </c>
      <c r="F231" s="136" t="s">
        <v>384</v>
      </c>
      <c r="I231" s="171"/>
      <c r="J231" s="137">
        <f>BK231</f>
        <v>33160.829999999994</v>
      </c>
      <c r="L231" s="127"/>
      <c r="M231" s="131"/>
      <c r="P231" s="132">
        <f>SUM(P232:P236)</f>
        <v>18.911505999999999</v>
      </c>
      <c r="R231" s="132">
        <f>SUM(R232:R236)</f>
        <v>6.1686400000000009E-2</v>
      </c>
      <c r="T231" s="133">
        <f>SUM(T232:T236)</f>
        <v>0</v>
      </c>
      <c r="AR231" s="128" t="s">
        <v>20</v>
      </c>
      <c r="AT231" s="134" t="s">
        <v>80</v>
      </c>
      <c r="AU231" s="134" t="s">
        <v>88</v>
      </c>
      <c r="AY231" s="128" t="s">
        <v>184</v>
      </c>
      <c r="BK231" s="135">
        <f>SUM(BK232:BK236)</f>
        <v>33160.829999999994</v>
      </c>
    </row>
    <row r="232" spans="2:65" s="1" customFormat="1" ht="16.5" customHeight="1" x14ac:dyDescent="0.3">
      <c r="B232" s="33"/>
      <c r="C232" s="138" t="s">
        <v>385</v>
      </c>
      <c r="D232" s="138" t="s">
        <v>186</v>
      </c>
      <c r="E232" s="139" t="s">
        <v>386</v>
      </c>
      <c r="F232" s="140" t="s">
        <v>387</v>
      </c>
      <c r="G232" s="141" t="s">
        <v>189</v>
      </c>
      <c r="H232" s="142">
        <v>154.21600000000001</v>
      </c>
      <c r="I232" s="143">
        <v>213.8</v>
      </c>
      <c r="J232" s="144">
        <f>ROUND(I232*H232,2)</f>
        <v>32971.379999999997</v>
      </c>
      <c r="K232" s="140" t="s">
        <v>190</v>
      </c>
      <c r="L232" s="33"/>
      <c r="M232" s="145" t="s">
        <v>1</v>
      </c>
      <c r="N232" s="146" t="s">
        <v>47</v>
      </c>
      <c r="O232" s="147">
        <v>0.122</v>
      </c>
      <c r="P232" s="147">
        <f>O232*H232</f>
        <v>18.814352</v>
      </c>
      <c r="Q232" s="147">
        <v>4.0000000000000002E-4</v>
      </c>
      <c r="R232" s="147">
        <f>Q232*H232</f>
        <v>6.1686400000000009E-2</v>
      </c>
      <c r="S232" s="147">
        <v>0</v>
      </c>
      <c r="T232" s="148">
        <f>S232*H232</f>
        <v>0</v>
      </c>
      <c r="AR232" s="149" t="s">
        <v>287</v>
      </c>
      <c r="AT232" s="149" t="s">
        <v>186</v>
      </c>
      <c r="AU232" s="149" t="s">
        <v>20</v>
      </c>
      <c r="AY232" s="18" t="s">
        <v>184</v>
      </c>
      <c r="BE232" s="150">
        <f>IF(N232="základní",J232,0)</f>
        <v>32971.379999999997</v>
      </c>
      <c r="BF232" s="150">
        <f>IF(N232="snížená",J232,0)</f>
        <v>0</v>
      </c>
      <c r="BG232" s="150">
        <f>IF(N232="zákl. přenesená",J232,0)</f>
        <v>0</v>
      </c>
      <c r="BH232" s="150">
        <f>IF(N232="sníž. přenesená",J232,0)</f>
        <v>0</v>
      </c>
      <c r="BI232" s="150">
        <f>IF(N232="nulová",J232,0)</f>
        <v>0</v>
      </c>
      <c r="BJ232" s="18" t="s">
        <v>88</v>
      </c>
      <c r="BK232" s="150">
        <f>ROUND(I232*H232,2)</f>
        <v>32971.379999999997</v>
      </c>
      <c r="BL232" s="18" t="s">
        <v>287</v>
      </c>
      <c r="BM232" s="149" t="s">
        <v>388</v>
      </c>
    </row>
    <row r="233" spans="2:65" s="1" customFormat="1" x14ac:dyDescent="0.3">
      <c r="B233" s="33"/>
      <c r="D233" s="151" t="s">
        <v>193</v>
      </c>
      <c r="F233" s="152" t="s">
        <v>389</v>
      </c>
      <c r="I233" s="153"/>
      <c r="L233" s="33"/>
      <c r="M233" s="154"/>
      <c r="T233" s="57"/>
      <c r="AT233" s="18" t="s">
        <v>193</v>
      </c>
      <c r="AU233" s="18" t="s">
        <v>20</v>
      </c>
    </row>
    <row r="234" spans="2:65" s="12" customFormat="1" ht="11.25" x14ac:dyDescent="0.3">
      <c r="B234" s="155"/>
      <c r="D234" s="156" t="s">
        <v>195</v>
      </c>
      <c r="E234" s="157" t="s">
        <v>1</v>
      </c>
      <c r="F234" s="158" t="s">
        <v>390</v>
      </c>
      <c r="H234" s="159">
        <v>140.196</v>
      </c>
      <c r="I234" s="160"/>
      <c r="L234" s="155"/>
      <c r="M234" s="161"/>
      <c r="T234" s="162"/>
      <c r="AT234" s="157" t="s">
        <v>195</v>
      </c>
      <c r="AU234" s="157" t="s">
        <v>20</v>
      </c>
      <c r="AV234" s="12" t="s">
        <v>20</v>
      </c>
      <c r="AW234" s="12" t="s">
        <v>37</v>
      </c>
      <c r="AX234" s="12" t="s">
        <v>81</v>
      </c>
      <c r="AY234" s="157" t="s">
        <v>184</v>
      </c>
    </row>
    <row r="235" spans="2:65" s="12" customFormat="1" ht="11.25" x14ac:dyDescent="0.3">
      <c r="B235" s="155"/>
      <c r="D235" s="156" t="s">
        <v>195</v>
      </c>
      <c r="E235" s="157" t="s">
        <v>1</v>
      </c>
      <c r="F235" s="158" t="s">
        <v>391</v>
      </c>
      <c r="H235" s="159">
        <v>154.21600000000001</v>
      </c>
      <c r="I235" s="160"/>
      <c r="L235" s="155"/>
      <c r="M235" s="161"/>
      <c r="T235" s="162"/>
      <c r="AT235" s="157" t="s">
        <v>195</v>
      </c>
      <c r="AU235" s="157" t="s">
        <v>20</v>
      </c>
      <c r="AV235" s="12" t="s">
        <v>20</v>
      </c>
      <c r="AW235" s="12" t="s">
        <v>37</v>
      </c>
      <c r="AX235" s="12" t="s">
        <v>88</v>
      </c>
      <c r="AY235" s="157" t="s">
        <v>184</v>
      </c>
    </row>
    <row r="236" spans="2:65" s="1" customFormat="1" ht="16.5" customHeight="1" x14ac:dyDescent="0.3">
      <c r="B236" s="33"/>
      <c r="C236" s="138" t="s">
        <v>392</v>
      </c>
      <c r="D236" s="138" t="s">
        <v>186</v>
      </c>
      <c r="E236" s="139" t="s">
        <v>393</v>
      </c>
      <c r="F236" s="140" t="s">
        <v>394</v>
      </c>
      <c r="G236" s="141" t="s">
        <v>248</v>
      </c>
      <c r="H236" s="142">
        <v>6.2E-2</v>
      </c>
      <c r="I236" s="143">
        <v>3055.61</v>
      </c>
      <c r="J236" s="144">
        <f>ROUND(I236*H236,2)</f>
        <v>189.45</v>
      </c>
      <c r="K236" s="140" t="s">
        <v>1</v>
      </c>
      <c r="L236" s="33"/>
      <c r="M236" s="184" t="s">
        <v>1</v>
      </c>
      <c r="N236" s="185" t="s">
        <v>47</v>
      </c>
      <c r="O236" s="186">
        <v>1.5669999999999999</v>
      </c>
      <c r="P236" s="186">
        <f>O236*H236</f>
        <v>9.715399999999999E-2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AR236" s="149" t="s">
        <v>287</v>
      </c>
      <c r="AT236" s="149" t="s">
        <v>186</v>
      </c>
      <c r="AU236" s="149" t="s">
        <v>20</v>
      </c>
      <c r="AY236" s="18" t="s">
        <v>184</v>
      </c>
      <c r="BE236" s="150">
        <f>IF(N236="základní",J236,0)</f>
        <v>189.45</v>
      </c>
      <c r="BF236" s="150">
        <f>IF(N236="snížená",J236,0)</f>
        <v>0</v>
      </c>
      <c r="BG236" s="150">
        <f>IF(N236="zákl. přenesená",J236,0)</f>
        <v>0</v>
      </c>
      <c r="BH236" s="150">
        <f>IF(N236="sníž. přenesená",J236,0)</f>
        <v>0</v>
      </c>
      <c r="BI236" s="150">
        <f>IF(N236="nulová",J236,0)</f>
        <v>0</v>
      </c>
      <c r="BJ236" s="18" t="s">
        <v>88</v>
      </c>
      <c r="BK236" s="150">
        <f>ROUND(I236*H236,2)</f>
        <v>189.45</v>
      </c>
      <c r="BL236" s="18" t="s">
        <v>287</v>
      </c>
      <c r="BM236" s="149" t="s">
        <v>395</v>
      </c>
    </row>
    <row r="237" spans="2:65" s="1" customFormat="1" ht="6.95" customHeight="1" x14ac:dyDescent="0.3">
      <c r="B237" s="45"/>
      <c r="C237" s="46"/>
      <c r="D237" s="46"/>
      <c r="E237" s="46"/>
      <c r="F237" s="46"/>
      <c r="G237" s="46"/>
      <c r="H237" s="46"/>
      <c r="I237" s="188"/>
      <c r="J237" s="46"/>
      <c r="K237" s="46"/>
      <c r="L237" s="33"/>
    </row>
  </sheetData>
  <sheetProtection formatCells="0" formatColumns="0" formatRows="0" insertColumns="0" insertRows="0" insertHyperlinks="0" deleteColumns="0" deleteRows="0" sort="0" autoFilter="0" pivotTables="0"/>
  <autoFilter ref="C123:K236" xr:uid="{0AB957E8-0D30-4411-9EDB-18F86E0D9064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hyperlinks>
    <hyperlink ref="F128" r:id="rId1" xr:uid="{B856F244-2E71-4BB6-93E3-9C9068CF985D}"/>
    <hyperlink ref="F131" r:id="rId2" xr:uid="{30B96ACB-B6EB-46D1-BBBF-B238AA52BDD4}"/>
    <hyperlink ref="F134" r:id="rId3" xr:uid="{2290C8A5-0730-470A-9FDA-DA1A75A79130}"/>
    <hyperlink ref="F137" r:id="rId4" xr:uid="{F53D4FA6-FA96-4D4F-8322-79BB42904CD9}"/>
    <hyperlink ref="F140" r:id="rId5" xr:uid="{088569F1-83F7-4B5E-A823-C4D49AC47ED0}"/>
    <hyperlink ref="F143" r:id="rId6" xr:uid="{4E070D7D-7F27-4BA1-B98B-A62571ED34CC}"/>
    <hyperlink ref="F150" r:id="rId7" xr:uid="{BC71A89A-157F-4B01-8EFF-C5438C860C20}"/>
    <hyperlink ref="F154" r:id="rId8" xr:uid="{E68C2FCA-20A8-4448-8170-C299D337ADC5}"/>
    <hyperlink ref="F158" r:id="rId9" xr:uid="{95F59F42-BE9D-4D98-8AAB-852E116309AC}"/>
    <hyperlink ref="F161" r:id="rId10" xr:uid="{BDA41331-C01D-4591-A4D0-022860A34A3C}"/>
    <hyperlink ref="F167" r:id="rId11" xr:uid="{2E41F5DA-6439-43BA-987E-4C2C63695D95}"/>
    <hyperlink ref="F173" r:id="rId12" xr:uid="{8CB6F8C0-1332-485E-AB2E-07DF68E8660B}"/>
    <hyperlink ref="F177" r:id="rId13" xr:uid="{24210D53-499C-4E58-BD21-48A18F743C10}"/>
    <hyperlink ref="F186" r:id="rId14" xr:uid="{0383E989-ED51-4359-86A0-80EF3E526060}"/>
    <hyperlink ref="F189" r:id="rId15" xr:uid="{11E8B651-AFB2-4197-80DE-F650653F51D1}"/>
    <hyperlink ref="F204" r:id="rId16" xr:uid="{69FD21A8-E8CF-4036-A8CF-16A854F2C0ED}"/>
    <hyperlink ref="F215" r:id="rId17" xr:uid="{4890B41B-2348-471B-8B54-26BDE23A81E7}"/>
    <hyperlink ref="F219" r:id="rId18" xr:uid="{04CFAA22-9934-4A8C-B951-B0EE9C5E81B6}"/>
    <hyperlink ref="F225" r:id="rId19" xr:uid="{4E8401C1-6DE1-4C44-AEF7-8018AC74B34B}"/>
    <hyperlink ref="F229" r:id="rId20" xr:uid="{2A4F4448-8DC1-4D33-84DD-D4D733A36141}"/>
    <hyperlink ref="F233" r:id="rId21" xr:uid="{59777A1D-3264-4835-A942-513FD4C12C91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2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72B2D-B8AA-4AA2-9AE1-D21FC6F59939}">
  <sheetPr>
    <tabColor indexed="40"/>
    <pageSetUpPr fitToPage="1"/>
  </sheetPr>
  <dimension ref="B2:BM117"/>
  <sheetViews>
    <sheetView showGridLines="0" zoomScaleNormal="100" workbookViewId="0">
      <selection activeCell="I101" sqref="I101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144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2194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ROUND(J82, 2)</f>
        <v>52053.63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ROUND((SUM(BE82:BE116)),  2)</f>
        <v>52053.63</v>
      </c>
      <c r="I33" s="99">
        <v>0.21</v>
      </c>
      <c r="J33" s="98">
        <f>ROUND(((SUM(BE82:BE116))*I33),  2)</f>
        <v>10931.26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ROUND((SUM(BF82:BF116)),  2)</f>
        <v>0</v>
      </c>
      <c r="I34" s="99">
        <v>0.15</v>
      </c>
      <c r="J34" s="98">
        <f>ROUND(((SUM(BF82:BF116))*I34),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ROUND((SUM(BG82:BG116)),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ROUND((SUM(BH82:BH116)),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ROUND((SUM(BI82:BI116)),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62984.89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SO 801.II - Sadové úpravy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J82</f>
        <v>52053.63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J83</f>
        <v>52053.63</v>
      </c>
      <c r="L60" s="111"/>
    </row>
    <row r="61" spans="2:47" s="9" customFormat="1" ht="19.899999999999999" customHeight="1" x14ac:dyDescent="0.3">
      <c r="B61" s="115"/>
      <c r="D61" s="116" t="s">
        <v>161</v>
      </c>
      <c r="E61" s="117"/>
      <c r="F61" s="117"/>
      <c r="G61" s="117"/>
      <c r="H61" s="117"/>
      <c r="I61" s="117"/>
      <c r="J61" s="118">
        <f>J84</f>
        <v>52047.6</v>
      </c>
      <c r="L61" s="115"/>
    </row>
    <row r="62" spans="2:47" s="9" customFormat="1" ht="19.899999999999999" customHeight="1" x14ac:dyDescent="0.3">
      <c r="B62" s="115"/>
      <c r="D62" s="116" t="s">
        <v>165</v>
      </c>
      <c r="E62" s="117"/>
      <c r="F62" s="117"/>
      <c r="G62" s="117"/>
      <c r="H62" s="117"/>
      <c r="I62" s="117"/>
      <c r="J62" s="118">
        <f>J114</f>
        <v>6.03</v>
      </c>
      <c r="L62" s="115"/>
    </row>
    <row r="63" spans="2:47" s="1" customFormat="1" ht="21.75" customHeight="1" x14ac:dyDescent="0.3">
      <c r="B63" s="33"/>
      <c r="L63" s="33"/>
    </row>
    <row r="64" spans="2:47" s="1" customFormat="1" ht="6.95" customHeight="1" x14ac:dyDescent="0.3"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33"/>
    </row>
    <row r="68" spans="2:12" s="1" customFormat="1" ht="6.95" customHeight="1" x14ac:dyDescent="0.3"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33"/>
    </row>
    <row r="69" spans="2:12" s="1" customFormat="1" ht="24.95" customHeight="1" x14ac:dyDescent="0.3">
      <c r="B69" s="33"/>
      <c r="C69" s="22" t="s">
        <v>168</v>
      </c>
      <c r="L69" s="33"/>
    </row>
    <row r="70" spans="2:12" s="1" customFormat="1" ht="6.95" customHeight="1" x14ac:dyDescent="0.3">
      <c r="B70" s="33"/>
      <c r="L70" s="33"/>
    </row>
    <row r="71" spans="2:12" s="1" customFormat="1" ht="12" customHeight="1" x14ac:dyDescent="0.3">
      <c r="B71" s="33"/>
      <c r="C71" s="28" t="s">
        <v>15</v>
      </c>
      <c r="L71" s="33"/>
    </row>
    <row r="72" spans="2:12" s="1" customFormat="1" ht="16.5" customHeight="1" x14ac:dyDescent="0.3">
      <c r="B72" s="33"/>
      <c r="E72" s="324" t="str">
        <f>E7</f>
        <v>Obnova ulice Tyršova, Dobrovice - II. etapa</v>
      </c>
      <c r="F72" s="325"/>
      <c r="G72" s="325"/>
      <c r="H72" s="325"/>
      <c r="L72" s="33"/>
    </row>
    <row r="73" spans="2:12" s="1" customFormat="1" ht="12" customHeight="1" x14ac:dyDescent="0.3">
      <c r="B73" s="33"/>
      <c r="C73" s="28" t="s">
        <v>152</v>
      </c>
      <c r="L73" s="33"/>
    </row>
    <row r="74" spans="2:12" s="1" customFormat="1" ht="16.5" customHeight="1" x14ac:dyDescent="0.3">
      <c r="B74" s="33"/>
      <c r="E74" s="308" t="str">
        <f>E9</f>
        <v>SO 801.II - Sadové úpravy II. etapa</v>
      </c>
      <c r="F74" s="326"/>
      <c r="G74" s="326"/>
      <c r="H74" s="326"/>
      <c r="L74" s="33"/>
    </row>
    <row r="75" spans="2:12" s="1" customFormat="1" ht="6.95" customHeight="1" x14ac:dyDescent="0.3">
      <c r="B75" s="33"/>
      <c r="L75" s="33"/>
    </row>
    <row r="76" spans="2:12" s="1" customFormat="1" ht="12" customHeight="1" x14ac:dyDescent="0.3">
      <c r="B76" s="33"/>
      <c r="C76" s="28" t="s">
        <v>21</v>
      </c>
      <c r="F76" s="26" t="str">
        <f>F12</f>
        <v>Dobrovice</v>
      </c>
      <c r="I76" s="28" t="s">
        <v>23</v>
      </c>
      <c r="J76" s="53">
        <f>IF(J12="","",J12)</f>
        <v>45678</v>
      </c>
      <c r="L76" s="33"/>
    </row>
    <row r="77" spans="2:12" s="1" customFormat="1" ht="6.95" customHeight="1" x14ac:dyDescent="0.3">
      <c r="B77" s="33"/>
      <c r="L77" s="33"/>
    </row>
    <row r="78" spans="2:12" s="1" customFormat="1" ht="25.7" customHeight="1" x14ac:dyDescent="0.3">
      <c r="B78" s="33"/>
      <c r="C78" s="28" t="s">
        <v>28</v>
      </c>
      <c r="F78" s="26" t="str">
        <f>E15</f>
        <v>Město Dobrovice, Palckého nám. 28, 294 41</v>
      </c>
      <c r="I78" s="28" t="s">
        <v>34</v>
      </c>
      <c r="J78" s="96" t="str">
        <f>E21</f>
        <v>Ing. arch. Martin Jirovský Ph.D., MBA</v>
      </c>
      <c r="L78" s="33"/>
    </row>
    <row r="79" spans="2:12" s="1" customFormat="1" ht="40.15" customHeight="1" x14ac:dyDescent="0.3">
      <c r="B79" s="33"/>
      <c r="C79" s="28" t="s">
        <v>33</v>
      </c>
      <c r="F79" s="26">
        <f>IF(E18="","",E18)</f>
        <v>0</v>
      </c>
      <c r="I79" s="28" t="s">
        <v>38</v>
      </c>
      <c r="J79" s="96" t="str">
        <f>E24</f>
        <v>ROAD M.A.A.T. s.r.o., Petra Stejskalová</v>
      </c>
      <c r="L79" s="33"/>
    </row>
    <row r="80" spans="2:12" s="1" customFormat="1" ht="10.35" customHeight="1" x14ac:dyDescent="0.3">
      <c r="B80" s="33"/>
      <c r="L80" s="33"/>
    </row>
    <row r="81" spans="2:65" s="10" customFormat="1" ht="29.25" customHeight="1" x14ac:dyDescent="0.3">
      <c r="B81" s="119"/>
      <c r="C81" s="120" t="s">
        <v>169</v>
      </c>
      <c r="D81" s="121" t="s">
        <v>66</v>
      </c>
      <c r="E81" s="121" t="s">
        <v>63</v>
      </c>
      <c r="F81" s="121" t="s">
        <v>170</v>
      </c>
      <c r="G81" s="121" t="s">
        <v>171</v>
      </c>
      <c r="H81" s="121" t="s">
        <v>172</v>
      </c>
      <c r="I81" s="121" t="s">
        <v>173</v>
      </c>
      <c r="J81" s="121" t="s">
        <v>157</v>
      </c>
      <c r="K81" s="122" t="s">
        <v>174</v>
      </c>
      <c r="L81" s="119"/>
      <c r="M81" s="60" t="s">
        <v>1</v>
      </c>
      <c r="N81" s="61" t="s">
        <v>46</v>
      </c>
      <c r="O81" s="61" t="s">
        <v>175</v>
      </c>
      <c r="P81" s="61" t="s">
        <v>176</v>
      </c>
      <c r="Q81" s="61" t="s">
        <v>177</v>
      </c>
      <c r="R81" s="61" t="s">
        <v>178</v>
      </c>
      <c r="S81" s="61" t="s">
        <v>179</v>
      </c>
      <c r="T81" s="62" t="s">
        <v>180</v>
      </c>
    </row>
    <row r="82" spans="2:65" s="1" customFormat="1" ht="22.9" customHeight="1" x14ac:dyDescent="0.25">
      <c r="B82" s="33"/>
      <c r="C82" s="65" t="s">
        <v>181</v>
      </c>
      <c r="J82" s="123">
        <f>BK82</f>
        <v>52053.63</v>
      </c>
      <c r="L82" s="33"/>
      <c r="M82" s="63"/>
      <c r="N82" s="54"/>
      <c r="O82" s="54"/>
      <c r="P82" s="124">
        <f>P83</f>
        <v>65.203215999999998</v>
      </c>
      <c r="Q82" s="54"/>
      <c r="R82" s="124">
        <f>R83</f>
        <v>7.5600000000000007E-3</v>
      </c>
      <c r="S82" s="54"/>
      <c r="T82" s="125">
        <f>T83</f>
        <v>0</v>
      </c>
      <c r="AT82" s="18" t="s">
        <v>80</v>
      </c>
      <c r="AU82" s="18" t="s">
        <v>159</v>
      </c>
      <c r="BK82" s="126">
        <f>BK83</f>
        <v>52053.63</v>
      </c>
    </row>
    <row r="83" spans="2:65" s="11" customFormat="1" ht="25.9" customHeight="1" x14ac:dyDescent="0.2">
      <c r="B83" s="127"/>
      <c r="D83" s="128" t="s">
        <v>80</v>
      </c>
      <c r="E83" s="129" t="s">
        <v>182</v>
      </c>
      <c r="F83" s="129" t="s">
        <v>183</v>
      </c>
      <c r="J83" s="130">
        <f>BK83</f>
        <v>52053.63</v>
      </c>
      <c r="L83" s="127"/>
      <c r="M83" s="131"/>
      <c r="P83" s="132">
        <f>P84+P114</f>
        <v>65.203215999999998</v>
      </c>
      <c r="R83" s="132">
        <f>R84+R114</f>
        <v>7.5600000000000007E-3</v>
      </c>
      <c r="T83" s="133">
        <f>T84+T114</f>
        <v>0</v>
      </c>
      <c r="AR83" s="128" t="s">
        <v>88</v>
      </c>
      <c r="AT83" s="134" t="s">
        <v>80</v>
      </c>
      <c r="AU83" s="134" t="s">
        <v>81</v>
      </c>
      <c r="AY83" s="128" t="s">
        <v>184</v>
      </c>
      <c r="BK83" s="135">
        <f>BK84+BK114</f>
        <v>52053.63</v>
      </c>
    </row>
    <row r="84" spans="2:65" s="11" customFormat="1" ht="22.9" customHeight="1" x14ac:dyDescent="0.2">
      <c r="B84" s="127"/>
      <c r="D84" s="128" t="s">
        <v>80</v>
      </c>
      <c r="E84" s="136" t="s">
        <v>88</v>
      </c>
      <c r="F84" s="136" t="s">
        <v>185</v>
      </c>
      <c r="J84" s="137">
        <f>BK84</f>
        <v>52047.6</v>
      </c>
      <c r="L84" s="127"/>
      <c r="M84" s="131"/>
      <c r="P84" s="132">
        <f>SUM(P85:P113)</f>
        <v>65.174976000000001</v>
      </c>
      <c r="R84" s="132">
        <f>SUM(R85:R113)</f>
        <v>7.5600000000000007E-3</v>
      </c>
      <c r="T84" s="133">
        <f>SUM(T85:T113)</f>
        <v>0</v>
      </c>
      <c r="AR84" s="128" t="s">
        <v>88</v>
      </c>
      <c r="AT84" s="134" t="s">
        <v>80</v>
      </c>
      <c r="AU84" s="134" t="s">
        <v>88</v>
      </c>
      <c r="AY84" s="128" t="s">
        <v>184</v>
      </c>
      <c r="BK84" s="135">
        <f>SUM(BK85:BK113)</f>
        <v>52047.6</v>
      </c>
    </row>
    <row r="85" spans="2:65" s="1" customFormat="1" ht="37.9" customHeight="1" x14ac:dyDescent="0.3">
      <c r="B85" s="33"/>
      <c r="C85" s="138" t="s">
        <v>88</v>
      </c>
      <c r="D85" s="138" t="s">
        <v>186</v>
      </c>
      <c r="E85" s="139" t="s">
        <v>1459</v>
      </c>
      <c r="F85" s="140" t="s">
        <v>1460</v>
      </c>
      <c r="G85" s="141" t="s">
        <v>217</v>
      </c>
      <c r="H85" s="142">
        <v>26.7</v>
      </c>
      <c r="I85" s="143">
        <v>99.87</v>
      </c>
      <c r="J85" s="144">
        <f>ROUND(I85*H85,2)</f>
        <v>2666.53</v>
      </c>
      <c r="K85" s="140" t="s">
        <v>190</v>
      </c>
      <c r="L85" s="33"/>
      <c r="M85" s="145" t="s">
        <v>1</v>
      </c>
      <c r="N85" s="146" t="s">
        <v>47</v>
      </c>
      <c r="O85" s="147">
        <v>4.3999999999999997E-2</v>
      </c>
      <c r="P85" s="147">
        <f>O85*H85</f>
        <v>1.1747999999999998</v>
      </c>
      <c r="Q85" s="147">
        <v>0</v>
      </c>
      <c r="R85" s="147">
        <f>Q85*H85</f>
        <v>0</v>
      </c>
      <c r="S85" s="147">
        <v>0</v>
      </c>
      <c r="T85" s="148">
        <f>S85*H85</f>
        <v>0</v>
      </c>
      <c r="AR85" s="149" t="s">
        <v>191</v>
      </c>
      <c r="AT85" s="149" t="s">
        <v>186</v>
      </c>
      <c r="AU85" s="149" t="s">
        <v>20</v>
      </c>
      <c r="AY85" s="18" t="s">
        <v>184</v>
      </c>
      <c r="BE85" s="150">
        <f>IF(N85="základní",J85,0)</f>
        <v>2666.53</v>
      </c>
      <c r="BF85" s="150">
        <f>IF(N85="snížená",J85,0)</f>
        <v>0</v>
      </c>
      <c r="BG85" s="150">
        <f>IF(N85="zákl. přenesená",J85,0)</f>
        <v>0</v>
      </c>
      <c r="BH85" s="150">
        <f>IF(N85="sníž. přenesená",J85,0)</f>
        <v>0</v>
      </c>
      <c r="BI85" s="150">
        <f>IF(N85="nulová",J85,0)</f>
        <v>0</v>
      </c>
      <c r="BJ85" s="18" t="s">
        <v>88</v>
      </c>
      <c r="BK85" s="150">
        <f>ROUND(I85*H85,2)</f>
        <v>2666.53</v>
      </c>
      <c r="BL85" s="18" t="s">
        <v>191</v>
      </c>
      <c r="BM85" s="149" t="s">
        <v>2195</v>
      </c>
    </row>
    <row r="86" spans="2:65" s="1" customFormat="1" x14ac:dyDescent="0.3">
      <c r="B86" s="33"/>
      <c r="D86" s="151" t="s">
        <v>193</v>
      </c>
      <c r="F86" s="152" t="s">
        <v>1462</v>
      </c>
      <c r="I86" s="153"/>
      <c r="L86" s="33"/>
      <c r="M86" s="154"/>
      <c r="T86" s="57"/>
      <c r="AT86" s="18" t="s">
        <v>193</v>
      </c>
      <c r="AU86" s="18" t="s">
        <v>20</v>
      </c>
    </row>
    <row r="87" spans="2:65" s="12" customFormat="1" ht="11.25" x14ac:dyDescent="0.3">
      <c r="B87" s="155"/>
      <c r="D87" s="156" t="s">
        <v>195</v>
      </c>
      <c r="E87" s="157" t="s">
        <v>1</v>
      </c>
      <c r="F87" s="158" t="s">
        <v>2196</v>
      </c>
      <c r="H87" s="159">
        <v>26.7</v>
      </c>
      <c r="I87" s="160"/>
      <c r="L87" s="155"/>
      <c r="M87" s="161"/>
      <c r="T87" s="162"/>
      <c r="AT87" s="157" t="s">
        <v>195</v>
      </c>
      <c r="AU87" s="157" t="s">
        <v>20</v>
      </c>
      <c r="AV87" s="12" t="s">
        <v>20</v>
      </c>
      <c r="AW87" s="12" t="s">
        <v>37</v>
      </c>
      <c r="AX87" s="12" t="s">
        <v>88</v>
      </c>
      <c r="AY87" s="157" t="s">
        <v>184</v>
      </c>
    </row>
    <row r="88" spans="2:65" s="1" customFormat="1" ht="24.2" customHeight="1" x14ac:dyDescent="0.3">
      <c r="B88" s="33"/>
      <c r="C88" s="138" t="s">
        <v>20</v>
      </c>
      <c r="D88" s="138" t="s">
        <v>186</v>
      </c>
      <c r="E88" s="139" t="s">
        <v>1389</v>
      </c>
      <c r="F88" s="140" t="s">
        <v>2197</v>
      </c>
      <c r="G88" s="141" t="s">
        <v>217</v>
      </c>
      <c r="H88" s="142">
        <v>26.7</v>
      </c>
      <c r="I88" s="143">
        <v>106.89</v>
      </c>
      <c r="J88" s="144">
        <f>ROUND(I88*H88,2)</f>
        <v>2853.96</v>
      </c>
      <c r="K88" s="140" t="s">
        <v>190</v>
      </c>
      <c r="L88" s="33"/>
      <c r="M88" s="145" t="s">
        <v>1</v>
      </c>
      <c r="N88" s="146" t="s">
        <v>47</v>
      </c>
      <c r="O88" s="147">
        <v>0.19700000000000001</v>
      </c>
      <c r="P88" s="147">
        <f>O88*H88</f>
        <v>5.2599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AR88" s="149" t="s">
        <v>191</v>
      </c>
      <c r="AT88" s="149" t="s">
        <v>186</v>
      </c>
      <c r="AU88" s="149" t="s">
        <v>20</v>
      </c>
      <c r="AY88" s="18" t="s">
        <v>184</v>
      </c>
      <c r="BE88" s="150">
        <f>IF(N88="základní",J88,0)</f>
        <v>2853.96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8" t="s">
        <v>88</v>
      </c>
      <c r="BK88" s="150">
        <f>ROUND(I88*H88,2)</f>
        <v>2853.96</v>
      </c>
      <c r="BL88" s="18" t="s">
        <v>191</v>
      </c>
      <c r="BM88" s="149" t="s">
        <v>2198</v>
      </c>
    </row>
    <row r="89" spans="2:65" s="1" customFormat="1" x14ac:dyDescent="0.3">
      <c r="B89" s="33"/>
      <c r="D89" s="151" t="s">
        <v>193</v>
      </c>
      <c r="F89" s="152" t="s">
        <v>1392</v>
      </c>
      <c r="I89" s="153"/>
      <c r="L89" s="33"/>
      <c r="M89" s="154"/>
      <c r="T89" s="57"/>
      <c r="AT89" s="18" t="s">
        <v>193</v>
      </c>
      <c r="AU89" s="18" t="s">
        <v>20</v>
      </c>
    </row>
    <row r="90" spans="2:65" s="1" customFormat="1" ht="33" customHeight="1" x14ac:dyDescent="0.3">
      <c r="B90" s="33"/>
      <c r="C90" s="138" t="s">
        <v>202</v>
      </c>
      <c r="D90" s="138" t="s">
        <v>186</v>
      </c>
      <c r="E90" s="139" t="s">
        <v>1393</v>
      </c>
      <c r="F90" s="140" t="s">
        <v>2199</v>
      </c>
      <c r="G90" s="141" t="s">
        <v>189</v>
      </c>
      <c r="H90" s="142">
        <v>178</v>
      </c>
      <c r="I90" s="143">
        <v>76.36</v>
      </c>
      <c r="J90" s="144">
        <f>ROUND(I90*H90,2)</f>
        <v>13592.08</v>
      </c>
      <c r="K90" s="140" t="s">
        <v>190</v>
      </c>
      <c r="L90" s="33"/>
      <c r="M90" s="145" t="s">
        <v>1</v>
      </c>
      <c r="N90" s="146" t="s">
        <v>47</v>
      </c>
      <c r="O90" s="147">
        <v>0.126</v>
      </c>
      <c r="P90" s="147">
        <f>O90*H90</f>
        <v>22.428000000000001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49" t="s">
        <v>191</v>
      </c>
      <c r="AT90" s="149" t="s">
        <v>186</v>
      </c>
      <c r="AU90" s="149" t="s">
        <v>20</v>
      </c>
      <c r="AY90" s="18" t="s">
        <v>184</v>
      </c>
      <c r="BE90" s="150">
        <f>IF(N90="základní",J90,0)</f>
        <v>13592.08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8" t="s">
        <v>88</v>
      </c>
      <c r="BK90" s="150">
        <f>ROUND(I90*H90,2)</f>
        <v>13592.08</v>
      </c>
      <c r="BL90" s="18" t="s">
        <v>191</v>
      </c>
      <c r="BM90" s="149" t="s">
        <v>2200</v>
      </c>
    </row>
    <row r="91" spans="2:65" s="1" customFormat="1" x14ac:dyDescent="0.3">
      <c r="B91" s="33"/>
      <c r="D91" s="151" t="s">
        <v>193</v>
      </c>
      <c r="F91" s="152" t="s">
        <v>1396</v>
      </c>
      <c r="I91" s="153"/>
      <c r="L91" s="33"/>
      <c r="M91" s="154"/>
      <c r="T91" s="57"/>
      <c r="AT91" s="18" t="s">
        <v>193</v>
      </c>
      <c r="AU91" s="18" t="s">
        <v>20</v>
      </c>
    </row>
    <row r="92" spans="2:65" s="1" customFormat="1" ht="24.2" customHeight="1" x14ac:dyDescent="0.3">
      <c r="B92" s="33"/>
      <c r="C92" s="138" t="s">
        <v>191</v>
      </c>
      <c r="D92" s="138" t="s">
        <v>186</v>
      </c>
      <c r="E92" s="139" t="s">
        <v>1397</v>
      </c>
      <c r="F92" s="140" t="s">
        <v>2201</v>
      </c>
      <c r="G92" s="141" t="s">
        <v>189</v>
      </c>
      <c r="H92" s="142">
        <v>178</v>
      </c>
      <c r="I92" s="143">
        <v>61.09</v>
      </c>
      <c r="J92" s="144">
        <f>ROUND(I92*H92,2)</f>
        <v>10874.02</v>
      </c>
      <c r="K92" s="140" t="s">
        <v>190</v>
      </c>
      <c r="L92" s="33"/>
      <c r="M92" s="145" t="s">
        <v>1</v>
      </c>
      <c r="N92" s="146" t="s">
        <v>47</v>
      </c>
      <c r="O92" s="147">
        <v>4.3999999999999997E-2</v>
      </c>
      <c r="P92" s="147">
        <f>O92*H92</f>
        <v>7.8319999999999999</v>
      </c>
      <c r="Q92" s="147">
        <v>0</v>
      </c>
      <c r="R92" s="147">
        <f>Q92*H92</f>
        <v>0</v>
      </c>
      <c r="S92" s="147">
        <v>0</v>
      </c>
      <c r="T92" s="148">
        <f>S92*H92</f>
        <v>0</v>
      </c>
      <c r="AR92" s="149" t="s">
        <v>191</v>
      </c>
      <c r="AT92" s="149" t="s">
        <v>186</v>
      </c>
      <c r="AU92" s="149" t="s">
        <v>20</v>
      </c>
      <c r="AY92" s="18" t="s">
        <v>184</v>
      </c>
      <c r="BE92" s="150">
        <f>IF(N92="základní",J92,0)</f>
        <v>10874.02</v>
      </c>
      <c r="BF92" s="150">
        <f>IF(N92="snížená",J92,0)</f>
        <v>0</v>
      </c>
      <c r="BG92" s="150">
        <f>IF(N92="zákl. přenesená",J92,0)</f>
        <v>0</v>
      </c>
      <c r="BH92" s="150">
        <f>IF(N92="sníž. přenesená",J92,0)</f>
        <v>0</v>
      </c>
      <c r="BI92" s="150">
        <f>IF(N92="nulová",J92,0)</f>
        <v>0</v>
      </c>
      <c r="BJ92" s="18" t="s">
        <v>88</v>
      </c>
      <c r="BK92" s="150">
        <f>ROUND(I92*H92,2)</f>
        <v>10874.02</v>
      </c>
      <c r="BL92" s="18" t="s">
        <v>191</v>
      </c>
      <c r="BM92" s="149" t="s">
        <v>2202</v>
      </c>
    </row>
    <row r="93" spans="2:65" s="1" customFormat="1" x14ac:dyDescent="0.3">
      <c r="B93" s="33"/>
      <c r="D93" s="151" t="s">
        <v>193</v>
      </c>
      <c r="F93" s="152" t="s">
        <v>1400</v>
      </c>
      <c r="I93" s="153"/>
      <c r="L93" s="33"/>
      <c r="M93" s="154"/>
      <c r="T93" s="57"/>
      <c r="AT93" s="18" t="s">
        <v>193</v>
      </c>
      <c r="AU93" s="18" t="s">
        <v>20</v>
      </c>
    </row>
    <row r="94" spans="2:65" s="1" customFormat="1" ht="24.2" customHeight="1" x14ac:dyDescent="0.3">
      <c r="B94" s="33"/>
      <c r="C94" s="138" t="s">
        <v>214</v>
      </c>
      <c r="D94" s="138" t="s">
        <v>186</v>
      </c>
      <c r="E94" s="139" t="s">
        <v>1401</v>
      </c>
      <c r="F94" s="140" t="s">
        <v>2203</v>
      </c>
      <c r="G94" s="141" t="s">
        <v>189</v>
      </c>
      <c r="H94" s="142">
        <v>178</v>
      </c>
      <c r="I94" s="143">
        <v>45.82</v>
      </c>
      <c r="J94" s="144">
        <f>ROUND(I94*H94,2)</f>
        <v>8155.96</v>
      </c>
      <c r="K94" s="140" t="s">
        <v>190</v>
      </c>
      <c r="L94" s="33"/>
      <c r="M94" s="145" t="s">
        <v>1</v>
      </c>
      <c r="N94" s="146" t="s">
        <v>47</v>
      </c>
      <c r="O94" s="147">
        <v>5.8000000000000003E-2</v>
      </c>
      <c r="P94" s="147">
        <f>O94*H94</f>
        <v>10.324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49" t="s">
        <v>191</v>
      </c>
      <c r="AT94" s="149" t="s">
        <v>186</v>
      </c>
      <c r="AU94" s="149" t="s">
        <v>20</v>
      </c>
      <c r="AY94" s="18" t="s">
        <v>184</v>
      </c>
      <c r="BE94" s="150">
        <f>IF(N94="základní",J94,0)</f>
        <v>8155.96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8" t="s">
        <v>88</v>
      </c>
      <c r="BK94" s="150">
        <f>ROUND(I94*H94,2)</f>
        <v>8155.96</v>
      </c>
      <c r="BL94" s="18" t="s">
        <v>191</v>
      </c>
      <c r="BM94" s="149" t="s">
        <v>2204</v>
      </c>
    </row>
    <row r="95" spans="2:65" s="1" customFormat="1" x14ac:dyDescent="0.3">
      <c r="B95" s="33"/>
      <c r="D95" s="151" t="s">
        <v>193</v>
      </c>
      <c r="F95" s="152" t="s">
        <v>1404</v>
      </c>
      <c r="I95" s="153"/>
      <c r="L95" s="33"/>
      <c r="M95" s="154"/>
      <c r="T95" s="57"/>
      <c r="AT95" s="18" t="s">
        <v>193</v>
      </c>
      <c r="AU95" s="18" t="s">
        <v>20</v>
      </c>
    </row>
    <row r="96" spans="2:65" s="12" customFormat="1" ht="11.25" x14ac:dyDescent="0.3">
      <c r="B96" s="155"/>
      <c r="D96" s="156" t="s">
        <v>195</v>
      </c>
      <c r="E96" s="157" t="s">
        <v>1</v>
      </c>
      <c r="F96" s="158" t="s">
        <v>2205</v>
      </c>
      <c r="H96" s="159">
        <v>178</v>
      </c>
      <c r="I96" s="160"/>
      <c r="L96" s="155"/>
      <c r="M96" s="161"/>
      <c r="T96" s="162"/>
      <c r="AT96" s="157" t="s">
        <v>195</v>
      </c>
      <c r="AU96" s="157" t="s">
        <v>20</v>
      </c>
      <c r="AV96" s="12" t="s">
        <v>20</v>
      </c>
      <c r="AW96" s="12" t="s">
        <v>37</v>
      </c>
      <c r="AX96" s="12" t="s">
        <v>88</v>
      </c>
      <c r="AY96" s="157" t="s">
        <v>184</v>
      </c>
    </row>
    <row r="97" spans="2:65" s="1" customFormat="1" ht="16.5" customHeight="1" x14ac:dyDescent="0.3">
      <c r="B97" s="33"/>
      <c r="C97" s="172" t="s">
        <v>221</v>
      </c>
      <c r="D97" s="172" t="s">
        <v>271</v>
      </c>
      <c r="E97" s="173" t="s">
        <v>1406</v>
      </c>
      <c r="F97" s="174" t="s">
        <v>1407</v>
      </c>
      <c r="G97" s="175" t="s">
        <v>446</v>
      </c>
      <c r="H97" s="176">
        <v>3.56</v>
      </c>
      <c r="I97" s="177">
        <v>213.8</v>
      </c>
      <c r="J97" s="178">
        <f>ROUND(I97*H97,2)</f>
        <v>761.13</v>
      </c>
      <c r="K97" s="174" t="s">
        <v>190</v>
      </c>
      <c r="L97" s="179"/>
      <c r="M97" s="180" t="s">
        <v>1</v>
      </c>
      <c r="N97" s="181" t="s">
        <v>47</v>
      </c>
      <c r="O97" s="147">
        <v>0</v>
      </c>
      <c r="P97" s="147">
        <f>O97*H97</f>
        <v>0</v>
      </c>
      <c r="Q97" s="147">
        <v>1E-3</v>
      </c>
      <c r="R97" s="147">
        <f>Q97*H97</f>
        <v>3.5600000000000002E-3</v>
      </c>
      <c r="S97" s="147">
        <v>0</v>
      </c>
      <c r="T97" s="148">
        <f>S97*H97</f>
        <v>0</v>
      </c>
      <c r="AR97" s="149" t="s">
        <v>239</v>
      </c>
      <c r="AT97" s="149" t="s">
        <v>271</v>
      </c>
      <c r="AU97" s="149" t="s">
        <v>20</v>
      </c>
      <c r="AY97" s="18" t="s">
        <v>184</v>
      </c>
      <c r="BE97" s="150">
        <f>IF(N97="základní",J97,0)</f>
        <v>761.13</v>
      </c>
      <c r="BF97" s="150">
        <f>IF(N97="snížená",J97,0)</f>
        <v>0</v>
      </c>
      <c r="BG97" s="150">
        <f>IF(N97="zákl. přenesená",J97,0)</f>
        <v>0</v>
      </c>
      <c r="BH97" s="150">
        <f>IF(N97="sníž. přenesená",J97,0)</f>
        <v>0</v>
      </c>
      <c r="BI97" s="150">
        <f>IF(N97="nulová",J97,0)</f>
        <v>0</v>
      </c>
      <c r="BJ97" s="18" t="s">
        <v>88</v>
      </c>
      <c r="BK97" s="150">
        <f>ROUND(I97*H97,2)</f>
        <v>761.13</v>
      </c>
      <c r="BL97" s="18" t="s">
        <v>191</v>
      </c>
      <c r="BM97" s="149" t="s">
        <v>2206</v>
      </c>
    </row>
    <row r="98" spans="2:65" s="12" customFormat="1" ht="11.25" x14ac:dyDescent="0.3">
      <c r="B98" s="155"/>
      <c r="D98" s="156" t="s">
        <v>195</v>
      </c>
      <c r="E98" s="157" t="s">
        <v>1</v>
      </c>
      <c r="F98" s="158" t="s">
        <v>2207</v>
      </c>
      <c r="H98" s="159">
        <v>3.56</v>
      </c>
      <c r="I98" s="160"/>
      <c r="L98" s="155"/>
      <c r="M98" s="161"/>
      <c r="T98" s="162"/>
      <c r="AT98" s="157" t="s">
        <v>195</v>
      </c>
      <c r="AU98" s="157" t="s">
        <v>20</v>
      </c>
      <c r="AV98" s="12" t="s">
        <v>20</v>
      </c>
      <c r="AW98" s="12" t="s">
        <v>37</v>
      </c>
      <c r="AX98" s="12" t="s">
        <v>88</v>
      </c>
      <c r="AY98" s="157" t="s">
        <v>184</v>
      </c>
    </row>
    <row r="99" spans="2:65" s="1" customFormat="1" ht="21.75" customHeight="1" x14ac:dyDescent="0.3">
      <c r="B99" s="33"/>
      <c r="C99" s="138" t="s">
        <v>231</v>
      </c>
      <c r="D99" s="138" t="s">
        <v>186</v>
      </c>
      <c r="E99" s="139" t="s">
        <v>1410</v>
      </c>
      <c r="F99" s="140" t="s">
        <v>2208</v>
      </c>
      <c r="G99" s="141" t="s">
        <v>189</v>
      </c>
      <c r="H99" s="142">
        <v>178</v>
      </c>
      <c r="I99" s="143">
        <v>38.18</v>
      </c>
      <c r="J99" s="144">
        <f>ROUND(I99*H99,2)</f>
        <v>6796.04</v>
      </c>
      <c r="K99" s="140" t="s">
        <v>190</v>
      </c>
      <c r="L99" s="33"/>
      <c r="M99" s="145" t="s">
        <v>1</v>
      </c>
      <c r="N99" s="146" t="s">
        <v>47</v>
      </c>
      <c r="O99" s="147">
        <v>6.7000000000000004E-2</v>
      </c>
      <c r="P99" s="147">
        <f>O99*H99</f>
        <v>11.926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49" t="s">
        <v>191</v>
      </c>
      <c r="AT99" s="149" t="s">
        <v>186</v>
      </c>
      <c r="AU99" s="149" t="s">
        <v>20</v>
      </c>
      <c r="AY99" s="18" t="s">
        <v>184</v>
      </c>
      <c r="BE99" s="150">
        <f>IF(N99="základní",J99,0)</f>
        <v>6796.04</v>
      </c>
      <c r="BF99" s="150">
        <f>IF(N99="snížená",J99,0)</f>
        <v>0</v>
      </c>
      <c r="BG99" s="150">
        <f>IF(N99="zákl. přenesená",J99,0)</f>
        <v>0</v>
      </c>
      <c r="BH99" s="150">
        <f>IF(N99="sníž. přenesená",J99,0)</f>
        <v>0</v>
      </c>
      <c r="BI99" s="150">
        <f>IF(N99="nulová",J99,0)</f>
        <v>0</v>
      </c>
      <c r="BJ99" s="18" t="s">
        <v>88</v>
      </c>
      <c r="BK99" s="150">
        <f>ROUND(I99*H99,2)</f>
        <v>6796.04</v>
      </c>
      <c r="BL99" s="18" t="s">
        <v>191</v>
      </c>
      <c r="BM99" s="149" t="s">
        <v>2209</v>
      </c>
    </row>
    <row r="100" spans="2:65" s="1" customFormat="1" x14ac:dyDescent="0.3">
      <c r="B100" s="33"/>
      <c r="D100" s="151" t="s">
        <v>193</v>
      </c>
      <c r="F100" s="152" t="s">
        <v>1413</v>
      </c>
      <c r="I100" s="153"/>
      <c r="L100" s="33"/>
      <c r="M100" s="154"/>
      <c r="T100" s="57"/>
      <c r="AT100" s="18" t="s">
        <v>193</v>
      </c>
      <c r="AU100" s="18" t="s">
        <v>20</v>
      </c>
    </row>
    <row r="101" spans="2:65" s="1" customFormat="1" ht="16.5" customHeight="1" x14ac:dyDescent="0.3">
      <c r="B101" s="33"/>
      <c r="C101" s="138" t="s">
        <v>239</v>
      </c>
      <c r="D101" s="138" t="s">
        <v>186</v>
      </c>
      <c r="E101" s="139" t="s">
        <v>1417</v>
      </c>
      <c r="F101" s="140" t="s">
        <v>2210</v>
      </c>
      <c r="G101" s="141" t="s">
        <v>189</v>
      </c>
      <c r="H101" s="142">
        <v>178</v>
      </c>
      <c r="I101" s="143">
        <v>7.64</v>
      </c>
      <c r="J101" s="144">
        <f>ROUND(I101*H101,2)</f>
        <v>1359.92</v>
      </c>
      <c r="K101" s="140" t="s">
        <v>190</v>
      </c>
      <c r="L101" s="33"/>
      <c r="M101" s="145" t="s">
        <v>1</v>
      </c>
      <c r="N101" s="146" t="s">
        <v>47</v>
      </c>
      <c r="O101" s="147">
        <v>1.4999999999999999E-2</v>
      </c>
      <c r="P101" s="147">
        <f>O101*H101</f>
        <v>2.67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AR101" s="149" t="s">
        <v>191</v>
      </c>
      <c r="AT101" s="149" t="s">
        <v>186</v>
      </c>
      <c r="AU101" s="149" t="s">
        <v>20</v>
      </c>
      <c r="AY101" s="18" t="s">
        <v>184</v>
      </c>
      <c r="BE101" s="150">
        <f>IF(N101="základní",J101,0)</f>
        <v>1359.92</v>
      </c>
      <c r="BF101" s="150">
        <f>IF(N101="snížená",J101,0)</f>
        <v>0</v>
      </c>
      <c r="BG101" s="150">
        <f>IF(N101="zákl. přenesená",J101,0)</f>
        <v>0</v>
      </c>
      <c r="BH101" s="150">
        <f>IF(N101="sníž. přenesená",J101,0)</f>
        <v>0</v>
      </c>
      <c r="BI101" s="150">
        <f>IF(N101="nulová",J101,0)</f>
        <v>0</v>
      </c>
      <c r="BJ101" s="18" t="s">
        <v>88</v>
      </c>
      <c r="BK101" s="150">
        <f>ROUND(I101*H101,2)</f>
        <v>1359.92</v>
      </c>
      <c r="BL101" s="18" t="s">
        <v>191</v>
      </c>
      <c r="BM101" s="149" t="s">
        <v>2211</v>
      </c>
    </row>
    <row r="102" spans="2:65" s="1" customFormat="1" x14ac:dyDescent="0.3">
      <c r="B102" s="33"/>
      <c r="D102" s="151" t="s">
        <v>193</v>
      </c>
      <c r="F102" s="152" t="s">
        <v>2212</v>
      </c>
      <c r="I102" s="153"/>
      <c r="L102" s="33"/>
      <c r="M102" s="154"/>
      <c r="T102" s="57"/>
      <c r="AT102" s="18" t="s">
        <v>193</v>
      </c>
      <c r="AU102" s="18" t="s">
        <v>20</v>
      </c>
    </row>
    <row r="103" spans="2:65" s="1" customFormat="1" ht="24.2" customHeight="1" x14ac:dyDescent="0.3">
      <c r="B103" s="33"/>
      <c r="C103" s="138" t="s">
        <v>245</v>
      </c>
      <c r="D103" s="138" t="s">
        <v>186</v>
      </c>
      <c r="E103" s="139" t="s">
        <v>1420</v>
      </c>
      <c r="F103" s="140" t="s">
        <v>2213</v>
      </c>
      <c r="G103" s="141" t="s">
        <v>189</v>
      </c>
      <c r="H103" s="142">
        <v>178</v>
      </c>
      <c r="I103" s="143">
        <v>7.64</v>
      </c>
      <c r="J103" s="144">
        <f>ROUND(I103*H103,2)</f>
        <v>1359.92</v>
      </c>
      <c r="K103" s="140" t="s">
        <v>190</v>
      </c>
      <c r="L103" s="33"/>
      <c r="M103" s="145" t="s">
        <v>1</v>
      </c>
      <c r="N103" s="146" t="s">
        <v>47</v>
      </c>
      <c r="O103" s="147">
        <v>5.0000000000000001E-3</v>
      </c>
      <c r="P103" s="147">
        <f>O103*H103</f>
        <v>0.89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AR103" s="149" t="s">
        <v>191</v>
      </c>
      <c r="AT103" s="149" t="s">
        <v>186</v>
      </c>
      <c r="AU103" s="149" t="s">
        <v>20</v>
      </c>
      <c r="AY103" s="18" t="s">
        <v>184</v>
      </c>
      <c r="BE103" s="150">
        <f>IF(N103="základní",J103,0)</f>
        <v>1359.92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8" t="s">
        <v>88</v>
      </c>
      <c r="BK103" s="150">
        <f>ROUND(I103*H103,2)</f>
        <v>1359.92</v>
      </c>
      <c r="BL103" s="18" t="s">
        <v>191</v>
      </c>
      <c r="BM103" s="149" t="s">
        <v>2214</v>
      </c>
    </row>
    <row r="104" spans="2:65" s="1" customFormat="1" x14ac:dyDescent="0.3">
      <c r="B104" s="33"/>
      <c r="D104" s="151" t="s">
        <v>193</v>
      </c>
      <c r="F104" s="152" t="s">
        <v>2215</v>
      </c>
      <c r="I104" s="153"/>
      <c r="L104" s="33"/>
      <c r="M104" s="154"/>
      <c r="T104" s="57"/>
      <c r="AT104" s="18" t="s">
        <v>193</v>
      </c>
      <c r="AU104" s="18" t="s">
        <v>20</v>
      </c>
    </row>
    <row r="105" spans="2:65" s="1" customFormat="1" ht="21.75" customHeight="1" x14ac:dyDescent="0.3">
      <c r="B105" s="33"/>
      <c r="C105" s="138" t="s">
        <v>252</v>
      </c>
      <c r="D105" s="138" t="s">
        <v>186</v>
      </c>
      <c r="E105" s="139" t="s">
        <v>1423</v>
      </c>
      <c r="F105" s="140" t="s">
        <v>2216</v>
      </c>
      <c r="G105" s="141" t="s">
        <v>189</v>
      </c>
      <c r="H105" s="142">
        <v>178</v>
      </c>
      <c r="I105" s="143">
        <v>9.16</v>
      </c>
      <c r="J105" s="144">
        <f>ROUND(I105*H105,2)</f>
        <v>1630.48</v>
      </c>
      <c r="K105" s="140" t="s">
        <v>190</v>
      </c>
      <c r="L105" s="33"/>
      <c r="M105" s="145" t="s">
        <v>1</v>
      </c>
      <c r="N105" s="146" t="s">
        <v>47</v>
      </c>
      <c r="O105" s="147">
        <v>0.01</v>
      </c>
      <c r="P105" s="147">
        <f>O105*H105</f>
        <v>1.78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AR105" s="149" t="s">
        <v>191</v>
      </c>
      <c r="AT105" s="149" t="s">
        <v>186</v>
      </c>
      <c r="AU105" s="149" t="s">
        <v>20</v>
      </c>
      <c r="AY105" s="18" t="s">
        <v>184</v>
      </c>
      <c r="BE105" s="150">
        <f>IF(N105="základní",J105,0)</f>
        <v>1630.48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8" t="s">
        <v>88</v>
      </c>
      <c r="BK105" s="150">
        <f>ROUND(I105*H105,2)</f>
        <v>1630.48</v>
      </c>
      <c r="BL105" s="18" t="s">
        <v>191</v>
      </c>
      <c r="BM105" s="149" t="s">
        <v>2217</v>
      </c>
    </row>
    <row r="106" spans="2:65" s="1" customFormat="1" x14ac:dyDescent="0.3">
      <c r="B106" s="33"/>
      <c r="D106" s="151" t="s">
        <v>193</v>
      </c>
      <c r="F106" s="152" t="s">
        <v>1426</v>
      </c>
      <c r="I106" s="153"/>
      <c r="L106" s="33"/>
      <c r="M106" s="154"/>
      <c r="T106" s="57"/>
      <c r="AT106" s="18" t="s">
        <v>193</v>
      </c>
      <c r="AU106" s="18" t="s">
        <v>20</v>
      </c>
    </row>
    <row r="107" spans="2:65" s="1" customFormat="1" ht="16.5" customHeight="1" x14ac:dyDescent="0.3">
      <c r="B107" s="33"/>
      <c r="C107" s="138" t="s">
        <v>257</v>
      </c>
      <c r="D107" s="138" t="s">
        <v>186</v>
      </c>
      <c r="E107" s="139" t="s">
        <v>1427</v>
      </c>
      <c r="F107" s="140" t="s">
        <v>2218</v>
      </c>
      <c r="G107" s="141" t="s">
        <v>248</v>
      </c>
      <c r="H107" s="142">
        <v>4.0000000000000001E-3</v>
      </c>
      <c r="I107" s="143">
        <v>15271.75</v>
      </c>
      <c r="J107" s="144">
        <f>ROUND(I107*H107,2)</f>
        <v>61.09</v>
      </c>
      <c r="K107" s="140" t="s">
        <v>190</v>
      </c>
      <c r="L107" s="33"/>
      <c r="M107" s="145" t="s">
        <v>1</v>
      </c>
      <c r="N107" s="146" t="s">
        <v>47</v>
      </c>
      <c r="O107" s="147">
        <v>21.428999999999998</v>
      </c>
      <c r="P107" s="147">
        <f>O107*H107</f>
        <v>8.5716000000000001E-2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49" t="s">
        <v>191</v>
      </c>
      <c r="AT107" s="149" t="s">
        <v>186</v>
      </c>
      <c r="AU107" s="149" t="s">
        <v>20</v>
      </c>
      <c r="AY107" s="18" t="s">
        <v>184</v>
      </c>
      <c r="BE107" s="150">
        <f>IF(N107="základní",J107,0)</f>
        <v>61.09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8" t="s">
        <v>88</v>
      </c>
      <c r="BK107" s="150">
        <f>ROUND(I107*H107,2)</f>
        <v>61.09</v>
      </c>
      <c r="BL107" s="18" t="s">
        <v>191</v>
      </c>
      <c r="BM107" s="149" t="s">
        <v>2219</v>
      </c>
    </row>
    <row r="108" spans="2:65" s="1" customFormat="1" x14ac:dyDescent="0.3">
      <c r="B108" s="33"/>
      <c r="D108" s="151" t="s">
        <v>193</v>
      </c>
      <c r="F108" s="152" t="s">
        <v>2220</v>
      </c>
      <c r="I108" s="153"/>
      <c r="L108" s="33"/>
      <c r="M108" s="154"/>
      <c r="T108" s="57"/>
      <c r="AT108" s="18" t="s">
        <v>193</v>
      </c>
      <c r="AU108" s="18" t="s">
        <v>20</v>
      </c>
    </row>
    <row r="109" spans="2:65" s="12" customFormat="1" ht="11.25" x14ac:dyDescent="0.3">
      <c r="B109" s="155"/>
      <c r="D109" s="156" t="s">
        <v>195</v>
      </c>
      <c r="E109" s="157" t="s">
        <v>1</v>
      </c>
      <c r="F109" s="158" t="s">
        <v>2221</v>
      </c>
      <c r="H109" s="159">
        <v>4.0000000000000001E-3</v>
      </c>
      <c r="I109" s="160"/>
      <c r="L109" s="155"/>
      <c r="M109" s="161"/>
      <c r="T109" s="162"/>
      <c r="AT109" s="157" t="s">
        <v>195</v>
      </c>
      <c r="AU109" s="157" t="s">
        <v>20</v>
      </c>
      <c r="AV109" s="12" t="s">
        <v>20</v>
      </c>
      <c r="AW109" s="12" t="s">
        <v>37</v>
      </c>
      <c r="AX109" s="12" t="s">
        <v>88</v>
      </c>
      <c r="AY109" s="157" t="s">
        <v>184</v>
      </c>
    </row>
    <row r="110" spans="2:65" s="1" customFormat="1" ht="16.5" customHeight="1" x14ac:dyDescent="0.3">
      <c r="B110" s="33"/>
      <c r="C110" s="172" t="s">
        <v>264</v>
      </c>
      <c r="D110" s="172" t="s">
        <v>271</v>
      </c>
      <c r="E110" s="173" t="s">
        <v>1431</v>
      </c>
      <c r="F110" s="174" t="s">
        <v>1432</v>
      </c>
      <c r="G110" s="175" t="s">
        <v>446</v>
      </c>
      <c r="H110" s="176">
        <v>4</v>
      </c>
      <c r="I110" s="177">
        <v>76.36</v>
      </c>
      <c r="J110" s="178">
        <f>ROUND(I110*H110,2)</f>
        <v>305.44</v>
      </c>
      <c r="K110" s="174" t="s">
        <v>190</v>
      </c>
      <c r="L110" s="179"/>
      <c r="M110" s="180" t="s">
        <v>1</v>
      </c>
      <c r="N110" s="181" t="s">
        <v>47</v>
      </c>
      <c r="O110" s="147">
        <v>0</v>
      </c>
      <c r="P110" s="147">
        <f>O110*H110</f>
        <v>0</v>
      </c>
      <c r="Q110" s="147">
        <v>1E-3</v>
      </c>
      <c r="R110" s="147">
        <f>Q110*H110</f>
        <v>4.0000000000000001E-3</v>
      </c>
      <c r="S110" s="147">
        <v>0</v>
      </c>
      <c r="T110" s="148">
        <f>S110*H110</f>
        <v>0</v>
      </c>
      <c r="AR110" s="149" t="s">
        <v>239</v>
      </c>
      <c r="AT110" s="149" t="s">
        <v>271</v>
      </c>
      <c r="AU110" s="149" t="s">
        <v>20</v>
      </c>
      <c r="AY110" s="18" t="s">
        <v>184</v>
      </c>
      <c r="BE110" s="150">
        <f>IF(N110="základní",J110,0)</f>
        <v>305.44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8" t="s">
        <v>88</v>
      </c>
      <c r="BK110" s="150">
        <f>ROUND(I110*H110,2)</f>
        <v>305.44</v>
      </c>
      <c r="BL110" s="18" t="s">
        <v>191</v>
      </c>
      <c r="BM110" s="149" t="s">
        <v>2222</v>
      </c>
    </row>
    <row r="111" spans="2:65" s="1" customFormat="1" ht="16.5" customHeight="1" x14ac:dyDescent="0.3">
      <c r="B111" s="33"/>
      <c r="C111" s="138" t="s">
        <v>270</v>
      </c>
      <c r="D111" s="138" t="s">
        <v>186</v>
      </c>
      <c r="E111" s="139" t="s">
        <v>1434</v>
      </c>
      <c r="F111" s="140" t="s">
        <v>2223</v>
      </c>
      <c r="G111" s="141" t="s">
        <v>217</v>
      </c>
      <c r="H111" s="142">
        <v>1.78</v>
      </c>
      <c r="I111" s="143">
        <v>916.31</v>
      </c>
      <c r="J111" s="144">
        <f>ROUND(I111*H111,2)</f>
        <v>1631.03</v>
      </c>
      <c r="K111" s="140" t="s">
        <v>190</v>
      </c>
      <c r="L111" s="33"/>
      <c r="M111" s="145" t="s">
        <v>1</v>
      </c>
      <c r="N111" s="146" t="s">
        <v>47</v>
      </c>
      <c r="O111" s="147">
        <v>0.45200000000000001</v>
      </c>
      <c r="P111" s="147">
        <f>O111*H111</f>
        <v>0.80456000000000005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49" t="s">
        <v>191</v>
      </c>
      <c r="AT111" s="149" t="s">
        <v>186</v>
      </c>
      <c r="AU111" s="149" t="s">
        <v>20</v>
      </c>
      <c r="AY111" s="18" t="s">
        <v>184</v>
      </c>
      <c r="BE111" s="150">
        <f>IF(N111="základní",J111,0)</f>
        <v>1631.03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8" t="s">
        <v>88</v>
      </c>
      <c r="BK111" s="150">
        <f>ROUND(I111*H111,2)</f>
        <v>1631.03</v>
      </c>
      <c r="BL111" s="18" t="s">
        <v>191</v>
      </c>
      <c r="BM111" s="149" t="s">
        <v>2224</v>
      </c>
    </row>
    <row r="112" spans="2:65" s="1" customFormat="1" x14ac:dyDescent="0.3">
      <c r="B112" s="33"/>
      <c r="D112" s="151" t="s">
        <v>193</v>
      </c>
      <c r="F112" s="152" t="s">
        <v>2225</v>
      </c>
      <c r="I112" s="153"/>
      <c r="L112" s="33"/>
      <c r="M112" s="154"/>
      <c r="T112" s="57"/>
      <c r="AT112" s="18" t="s">
        <v>193</v>
      </c>
      <c r="AU112" s="18" t="s">
        <v>20</v>
      </c>
    </row>
    <row r="113" spans="2:65" s="12" customFormat="1" ht="11.25" x14ac:dyDescent="0.3">
      <c r="B113" s="155"/>
      <c r="D113" s="156" t="s">
        <v>195</v>
      </c>
      <c r="E113" s="157" t="s">
        <v>1</v>
      </c>
      <c r="F113" s="158" t="s">
        <v>2226</v>
      </c>
      <c r="H113" s="159">
        <v>1.78</v>
      </c>
      <c r="I113" s="160"/>
      <c r="L113" s="155"/>
      <c r="M113" s="161"/>
      <c r="T113" s="162"/>
      <c r="AT113" s="157" t="s">
        <v>195</v>
      </c>
      <c r="AU113" s="157" t="s">
        <v>20</v>
      </c>
      <c r="AV113" s="12" t="s">
        <v>20</v>
      </c>
      <c r="AW113" s="12" t="s">
        <v>37</v>
      </c>
      <c r="AX113" s="12" t="s">
        <v>88</v>
      </c>
      <c r="AY113" s="157" t="s">
        <v>184</v>
      </c>
    </row>
    <row r="114" spans="2:65" s="11" customFormat="1" ht="22.9" customHeight="1" x14ac:dyDescent="0.2">
      <c r="B114" s="127"/>
      <c r="D114" s="128" t="s">
        <v>80</v>
      </c>
      <c r="E114" s="136" t="s">
        <v>374</v>
      </c>
      <c r="F114" s="136" t="s">
        <v>375</v>
      </c>
      <c r="I114" s="171"/>
      <c r="J114" s="137">
        <f>BK114</f>
        <v>6.03</v>
      </c>
      <c r="L114" s="127"/>
      <c r="M114" s="131"/>
      <c r="P114" s="132">
        <f>SUM(P115:P116)</f>
        <v>2.8239999999999998E-2</v>
      </c>
      <c r="R114" s="132">
        <f>SUM(R115:R116)</f>
        <v>0</v>
      </c>
      <c r="T114" s="133">
        <f>SUM(T115:T116)</f>
        <v>0</v>
      </c>
      <c r="AR114" s="128" t="s">
        <v>88</v>
      </c>
      <c r="AT114" s="134" t="s">
        <v>80</v>
      </c>
      <c r="AU114" s="134" t="s">
        <v>88</v>
      </c>
      <c r="AY114" s="128" t="s">
        <v>184</v>
      </c>
      <c r="BK114" s="135">
        <f>SUM(BK115:BK116)</f>
        <v>6.03</v>
      </c>
    </row>
    <row r="115" spans="2:65" s="1" customFormat="1" ht="24.2" customHeight="1" x14ac:dyDescent="0.3">
      <c r="B115" s="33"/>
      <c r="C115" s="138" t="s">
        <v>276</v>
      </c>
      <c r="D115" s="138" t="s">
        <v>186</v>
      </c>
      <c r="E115" s="139" t="s">
        <v>1438</v>
      </c>
      <c r="F115" s="140" t="s">
        <v>2227</v>
      </c>
      <c r="G115" s="141" t="s">
        <v>248</v>
      </c>
      <c r="H115" s="142">
        <v>8.0000000000000002E-3</v>
      </c>
      <c r="I115" s="143">
        <v>753.87</v>
      </c>
      <c r="J115" s="144">
        <f>ROUND(I115*H115,2)</f>
        <v>6.03</v>
      </c>
      <c r="K115" s="140" t="s">
        <v>190</v>
      </c>
      <c r="L115" s="33"/>
      <c r="M115" s="145" t="s">
        <v>1</v>
      </c>
      <c r="N115" s="146" t="s">
        <v>47</v>
      </c>
      <c r="O115" s="147">
        <v>3.53</v>
      </c>
      <c r="P115" s="147">
        <f>O115*H115</f>
        <v>2.8239999999999998E-2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AR115" s="149" t="s">
        <v>191</v>
      </c>
      <c r="AT115" s="149" t="s">
        <v>186</v>
      </c>
      <c r="AU115" s="149" t="s">
        <v>20</v>
      </c>
      <c r="AY115" s="18" t="s">
        <v>184</v>
      </c>
      <c r="BE115" s="150">
        <f>IF(N115="základní",J115,0)</f>
        <v>6.03</v>
      </c>
      <c r="BF115" s="150">
        <f>IF(N115="snížená",J115,0)</f>
        <v>0</v>
      </c>
      <c r="BG115" s="150">
        <f>IF(N115="zákl. přenesená",J115,0)</f>
        <v>0</v>
      </c>
      <c r="BH115" s="150">
        <f>IF(N115="sníž. přenesená",J115,0)</f>
        <v>0</v>
      </c>
      <c r="BI115" s="150">
        <f>IF(N115="nulová",J115,0)</f>
        <v>0</v>
      </c>
      <c r="BJ115" s="18" t="s">
        <v>88</v>
      </c>
      <c r="BK115" s="150">
        <f>ROUND(I115*H115,2)</f>
        <v>6.03</v>
      </c>
      <c r="BL115" s="18" t="s">
        <v>191</v>
      </c>
      <c r="BM115" s="149" t="s">
        <v>2228</v>
      </c>
    </row>
    <row r="116" spans="2:65" s="1" customFormat="1" x14ac:dyDescent="0.3">
      <c r="B116" s="33"/>
      <c r="D116" s="151" t="s">
        <v>193</v>
      </c>
      <c r="F116" s="152" t="s">
        <v>2229</v>
      </c>
      <c r="I116" s="153"/>
      <c r="L116" s="33"/>
      <c r="M116" s="189"/>
      <c r="N116" s="190"/>
      <c r="O116" s="190"/>
      <c r="P116" s="190"/>
      <c r="Q116" s="190"/>
      <c r="R116" s="190"/>
      <c r="S116" s="190"/>
      <c r="T116" s="191"/>
      <c r="AT116" s="18" t="s">
        <v>193</v>
      </c>
      <c r="AU116" s="18" t="s">
        <v>20</v>
      </c>
    </row>
    <row r="117" spans="2:65" s="1" customFormat="1" ht="6.95" customHeight="1" x14ac:dyDescent="0.3">
      <c r="B117" s="45"/>
      <c r="C117" s="46"/>
      <c r="D117" s="46"/>
      <c r="E117" s="46"/>
      <c r="F117" s="46"/>
      <c r="G117" s="46"/>
      <c r="H117" s="46"/>
      <c r="I117" s="188"/>
      <c r="J117" s="46"/>
      <c r="K117" s="46"/>
      <c r="L117" s="33"/>
    </row>
  </sheetData>
  <sheetProtection sheet="1" objects="1" scenarios="1"/>
  <autoFilter ref="C118:K150" xr:uid="{2241BC91-C7F4-40A7-BE18-2DCD675A95B5}"/>
  <mergeCells count="8">
    <mergeCell ref="E48:H48"/>
    <mergeCell ref="E50:H50"/>
    <mergeCell ref="E72:H72"/>
    <mergeCell ref="E74:H74"/>
    <mergeCell ref="L2:V2"/>
    <mergeCell ref="E7:H7"/>
    <mergeCell ref="E9:H9"/>
    <mergeCell ref="E27:H27"/>
  </mergeCells>
  <hyperlinks>
    <hyperlink ref="F86" r:id="rId1" xr:uid="{C04BDE88-A3DB-4A8B-B072-68BA43725661}"/>
    <hyperlink ref="F89" r:id="rId2" xr:uid="{392A86DA-2E93-4AA3-BC7A-992D88C6C7EC}"/>
    <hyperlink ref="F91" r:id="rId3" xr:uid="{9AD751AF-0EDC-458F-B9FD-A660E605D978}"/>
    <hyperlink ref="F93" r:id="rId4" xr:uid="{236E5282-8298-4077-AE5E-0870BC4099EF}"/>
    <hyperlink ref="F95" r:id="rId5" xr:uid="{78D486EC-82DA-4999-BD0F-5BF2EDB54EB9}"/>
    <hyperlink ref="F100" r:id="rId6" xr:uid="{D495FFFF-F8B7-4BF3-90DD-E314D6B4B937}"/>
    <hyperlink ref="F102" r:id="rId7" xr:uid="{F8693BEB-6ECF-46D4-BE4B-B4C235452E9E}"/>
    <hyperlink ref="F104" r:id="rId8" xr:uid="{48C0D2F7-A1C2-45EB-8C9F-2D1DAF91DFDB}"/>
    <hyperlink ref="F106" r:id="rId9" xr:uid="{B8A6D488-EA9B-42B1-BE76-54247F592420}"/>
    <hyperlink ref="F108" r:id="rId10" xr:uid="{E2F6FBCD-A2D3-4C9F-B982-D7F7C76214AB}"/>
    <hyperlink ref="F112" r:id="rId11" xr:uid="{4BB00FAB-978A-4AF8-B4D6-BF2D5F4BCCDF}"/>
    <hyperlink ref="F116" r:id="rId12" xr:uid="{8C9C0DA6-48C9-4B8D-B109-DE3D4D77A166}"/>
  </hyperlinks>
  <pageMargins left="0.39375001192092896" right="0.39375001192092896" top="0.39375001192092896" bottom="0.39375001192092896" header="0" footer="0"/>
  <pageSetup paperSize="9" scale="84" fitToHeight="100" orientation="landscape" blackAndWhite="1" errors="blank" r:id="rId13"/>
  <headerFooter>
    <oddFooter>&amp;CStrana &amp;P z &amp;N</oddFooter>
  </headerFooter>
  <drawing r:id="rId1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4882D-C3CF-4999-BC93-853C352E0BB7}">
  <sheetPr>
    <tabColor indexed="47"/>
    <pageSetUpPr fitToPage="1"/>
  </sheetPr>
  <dimension ref="B2:BM170"/>
  <sheetViews>
    <sheetView showGridLines="0" topLeftCell="A156" zoomScaleNormal="100" workbookViewId="0">
      <selection activeCell="I154" sqref="I154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75" width="0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2230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tr">
        <f>"Obnova ulice Tyršova, Dobrovice - II. etapa"</f>
        <v>Obnova ulice Tyršova, Dobrovice - II. etapa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2231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ROUND(J89, 2)</f>
        <v>6031000.5899999999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ROUND((SUM(BE89:BE169)),  2)</f>
        <v>6031000.5899999999</v>
      </c>
      <c r="I33" s="99">
        <v>0.21</v>
      </c>
      <c r="J33" s="98">
        <f>ROUND(((SUM(BE89:BE169))*I33),  2)</f>
        <v>1266510.1200000001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ROUND((SUM(BF89:BF169)),  2)</f>
        <v>0</v>
      </c>
      <c r="I34" s="99">
        <v>0.15</v>
      </c>
      <c r="J34" s="98">
        <f>ROUND(((SUM(BF89:BF169))*I34),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ROUND((SUM(BG89:BG169)),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ROUND((SUM(BH89:BH169)),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ROUND((SUM(BI89:BI169)),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7297510.71</v>
      </c>
      <c r="K39" s="105"/>
      <c r="L39" s="33"/>
    </row>
    <row r="40" spans="2:12" s="1" customFormat="1" ht="14.45" customHeight="1" x14ac:dyDescent="0.3"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33"/>
    </row>
    <row r="44" spans="2:12" s="1" customFormat="1" ht="6.95" customHeight="1" x14ac:dyDescent="0.3"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33"/>
    </row>
    <row r="45" spans="2:12" s="1" customFormat="1" ht="24.95" customHeight="1" x14ac:dyDescent="0.3">
      <c r="B45" s="33"/>
      <c r="C45" s="22" t="s">
        <v>155</v>
      </c>
      <c r="L45" s="33"/>
    </row>
    <row r="46" spans="2:12" s="1" customFormat="1" ht="6.95" customHeight="1" x14ac:dyDescent="0.3">
      <c r="B46" s="33"/>
      <c r="L46" s="33"/>
    </row>
    <row r="47" spans="2:12" s="1" customFormat="1" ht="12" customHeight="1" x14ac:dyDescent="0.3">
      <c r="B47" s="33"/>
      <c r="C47" s="28" t="s">
        <v>15</v>
      </c>
      <c r="L47" s="33"/>
    </row>
    <row r="48" spans="2:12" s="1" customFormat="1" ht="16.5" customHeight="1" x14ac:dyDescent="0.3">
      <c r="B48" s="33"/>
      <c r="E48" s="324" t="str">
        <f>E7</f>
        <v>Obnova ulice Tyršova, Dobrovice - II. etapa</v>
      </c>
      <c r="F48" s="325"/>
      <c r="G48" s="325"/>
      <c r="H48" s="325"/>
      <c r="L48" s="33"/>
    </row>
    <row r="49" spans="2:47" s="1" customFormat="1" ht="12" customHeight="1" x14ac:dyDescent="0.3">
      <c r="B49" s="33"/>
      <c r="C49" s="28" t="s">
        <v>152</v>
      </c>
      <c r="L49" s="33"/>
    </row>
    <row r="50" spans="2:47" s="1" customFormat="1" ht="16.5" customHeight="1" x14ac:dyDescent="0.3">
      <c r="B50" s="33"/>
      <c r="E50" s="308" t="str">
        <f>E9</f>
        <v>VON - Všeobecné a obecné náklady CELKEM VDV I. etapa a II. etapa</v>
      </c>
      <c r="F50" s="326"/>
      <c r="G50" s="326"/>
      <c r="H50" s="326"/>
      <c r="L50" s="33"/>
    </row>
    <row r="51" spans="2:47" s="1" customFormat="1" ht="6.95" customHeight="1" x14ac:dyDescent="0.3">
      <c r="B51" s="33"/>
      <c r="L51" s="33"/>
    </row>
    <row r="52" spans="2:47" s="1" customFormat="1" ht="12" customHeight="1" x14ac:dyDescent="0.3">
      <c r="B52" s="33"/>
      <c r="C52" s="28" t="s">
        <v>21</v>
      </c>
      <c r="F52" s="26" t="str">
        <f>F12</f>
        <v>Dobrovice</v>
      </c>
      <c r="I52" s="28" t="s">
        <v>23</v>
      </c>
      <c r="J52" s="53">
        <f>IF(J12="","",J12)</f>
        <v>45678</v>
      </c>
      <c r="L52" s="33"/>
    </row>
    <row r="53" spans="2:47" s="1" customFormat="1" ht="6.95" customHeight="1" x14ac:dyDescent="0.3">
      <c r="B53" s="33"/>
      <c r="L53" s="33"/>
    </row>
    <row r="54" spans="2:47" s="1" customFormat="1" ht="25.7" customHeight="1" x14ac:dyDescent="0.3">
      <c r="B54" s="33"/>
      <c r="C54" s="28" t="s">
        <v>28</v>
      </c>
      <c r="F54" s="26" t="str">
        <f>E15</f>
        <v>Město Dobrovice, Palckého nám. 28, 294 41</v>
      </c>
      <c r="I54" s="28" t="s">
        <v>34</v>
      </c>
      <c r="J54" s="96" t="str">
        <f>E21</f>
        <v>Ing. arch. Martin Jirovský Ph.D., MBA</v>
      </c>
      <c r="L54" s="33"/>
    </row>
    <row r="55" spans="2:47" s="1" customFormat="1" ht="40.15" customHeight="1" x14ac:dyDescent="0.3">
      <c r="B55" s="33"/>
      <c r="C55" s="28" t="s">
        <v>33</v>
      </c>
      <c r="F55" s="26">
        <f>IF(E18="","",E18)</f>
        <v>0</v>
      </c>
      <c r="I55" s="28" t="s">
        <v>38</v>
      </c>
      <c r="J55" s="96" t="str">
        <f>E24</f>
        <v>ROAD M.A.A.T. s.r.o., Petra Stejskalová</v>
      </c>
      <c r="L55" s="33"/>
    </row>
    <row r="56" spans="2:47" s="1" customFormat="1" ht="10.35" customHeight="1" x14ac:dyDescent="0.3">
      <c r="B56" s="33"/>
      <c r="L56" s="33"/>
    </row>
    <row r="57" spans="2:47" s="1" customFormat="1" ht="29.25" customHeight="1" x14ac:dyDescent="0.3">
      <c r="B57" s="33"/>
      <c r="C57" s="108" t="s">
        <v>156</v>
      </c>
      <c r="D57" s="100"/>
      <c r="E57" s="100"/>
      <c r="F57" s="100"/>
      <c r="G57" s="100"/>
      <c r="H57" s="100"/>
      <c r="I57" s="100"/>
      <c r="J57" s="109" t="s">
        <v>157</v>
      </c>
      <c r="K57" s="100"/>
      <c r="L57" s="33"/>
    </row>
    <row r="58" spans="2:47" s="1" customFormat="1" ht="10.35" customHeight="1" x14ac:dyDescent="0.3">
      <c r="B58" s="33"/>
      <c r="L58" s="33"/>
    </row>
    <row r="59" spans="2:47" s="1" customFormat="1" ht="22.9" customHeight="1" x14ac:dyDescent="0.3">
      <c r="B59" s="33"/>
      <c r="C59" s="110" t="s">
        <v>1442</v>
      </c>
      <c r="J59" s="67">
        <f>J89</f>
        <v>6031000.5899999999</v>
      </c>
      <c r="L59" s="33"/>
      <c r="AU59" s="18" t="s">
        <v>159</v>
      </c>
    </row>
    <row r="60" spans="2:47" s="8" customFormat="1" ht="24.95" customHeight="1" x14ac:dyDescent="0.3">
      <c r="B60" s="111"/>
      <c r="D60" s="112" t="s">
        <v>160</v>
      </c>
      <c r="E60" s="113"/>
      <c r="F60" s="113"/>
      <c r="G60" s="113"/>
      <c r="H60" s="113"/>
      <c r="I60" s="113"/>
      <c r="J60" s="114">
        <f>J90</f>
        <v>92740.27</v>
      </c>
      <c r="L60" s="111"/>
    </row>
    <row r="61" spans="2:47" s="9" customFormat="1" ht="19.899999999999999" customHeight="1" x14ac:dyDescent="0.3">
      <c r="B61" s="115"/>
      <c r="D61" s="116" t="s">
        <v>163</v>
      </c>
      <c r="E61" s="117"/>
      <c r="F61" s="117"/>
      <c r="G61" s="117"/>
      <c r="H61" s="117"/>
      <c r="I61" s="117"/>
      <c r="J61" s="118">
        <f>J91</f>
        <v>92740.27</v>
      </c>
      <c r="L61" s="115"/>
    </row>
    <row r="62" spans="2:47" s="8" customFormat="1" ht="24.95" customHeight="1" x14ac:dyDescent="0.3">
      <c r="B62" s="111"/>
      <c r="D62" s="112" t="s">
        <v>736</v>
      </c>
      <c r="E62" s="113"/>
      <c r="F62" s="113"/>
      <c r="G62" s="113"/>
      <c r="H62" s="113"/>
      <c r="I62" s="113"/>
      <c r="J62" s="114">
        <f>J94</f>
        <v>5938260.3200000003</v>
      </c>
      <c r="L62" s="111"/>
    </row>
    <row r="63" spans="2:47" s="9" customFormat="1" ht="19.899999999999999" customHeight="1" x14ac:dyDescent="0.3">
      <c r="B63" s="115"/>
      <c r="D63" s="116" t="s">
        <v>2232</v>
      </c>
      <c r="E63" s="117"/>
      <c r="F63" s="117"/>
      <c r="G63" s="117"/>
      <c r="H63" s="117"/>
      <c r="I63" s="117"/>
      <c r="J63" s="118">
        <f>J95</f>
        <v>375241.39999999991</v>
      </c>
      <c r="L63" s="115"/>
    </row>
    <row r="64" spans="2:47" s="9" customFormat="1" ht="19.899999999999999" customHeight="1" x14ac:dyDescent="0.3">
      <c r="B64" s="115"/>
      <c r="D64" s="116" t="s">
        <v>2233</v>
      </c>
      <c r="E64" s="117"/>
      <c r="F64" s="117"/>
      <c r="G64" s="117"/>
      <c r="H64" s="117"/>
      <c r="I64" s="117"/>
      <c r="J64" s="118">
        <f>J118</f>
        <v>27108.69</v>
      </c>
      <c r="L64" s="115"/>
    </row>
    <row r="65" spans="2:12" s="9" customFormat="1" ht="19.899999999999999" customHeight="1" x14ac:dyDescent="0.3">
      <c r="B65" s="115"/>
      <c r="D65" s="116" t="s">
        <v>2234</v>
      </c>
      <c r="E65" s="117"/>
      <c r="F65" s="117"/>
      <c r="G65" s="117"/>
      <c r="H65" s="117"/>
      <c r="I65" s="117"/>
      <c r="J65" s="118">
        <f>J123</f>
        <v>1969501.93</v>
      </c>
      <c r="L65" s="115"/>
    </row>
    <row r="66" spans="2:12" s="9" customFormat="1" ht="19.899999999999999" customHeight="1" x14ac:dyDescent="0.3">
      <c r="B66" s="115"/>
      <c r="D66" s="116" t="s">
        <v>737</v>
      </c>
      <c r="E66" s="117"/>
      <c r="F66" s="117"/>
      <c r="G66" s="117"/>
      <c r="H66" s="117"/>
      <c r="I66" s="117"/>
      <c r="J66" s="118">
        <f>J136</f>
        <v>62778.00999999998</v>
      </c>
      <c r="L66" s="115"/>
    </row>
    <row r="67" spans="2:12" s="9" customFormat="1" ht="19.899999999999999" customHeight="1" x14ac:dyDescent="0.3">
      <c r="B67" s="115"/>
      <c r="D67" s="116" t="s">
        <v>1829</v>
      </c>
      <c r="E67" s="117"/>
      <c r="F67" s="117"/>
      <c r="G67" s="117"/>
      <c r="H67" s="117"/>
      <c r="I67" s="117"/>
      <c r="J67" s="118">
        <f>J151</f>
        <v>789251.89</v>
      </c>
      <c r="L67" s="115"/>
    </row>
    <row r="68" spans="2:12" s="9" customFormat="1" ht="19.899999999999999" customHeight="1" x14ac:dyDescent="0.3">
      <c r="B68" s="115"/>
      <c r="D68" s="116" t="s">
        <v>2235</v>
      </c>
      <c r="E68" s="117"/>
      <c r="F68" s="117"/>
      <c r="G68" s="117"/>
      <c r="H68" s="117"/>
      <c r="I68" s="117"/>
      <c r="J68" s="118">
        <f>J153</f>
        <v>251112.11000000002</v>
      </c>
      <c r="L68" s="115"/>
    </row>
    <row r="69" spans="2:12" s="9" customFormat="1" ht="19.899999999999999" customHeight="1" x14ac:dyDescent="0.3">
      <c r="B69" s="115"/>
      <c r="D69" s="116" t="s">
        <v>2236</v>
      </c>
      <c r="E69" s="117"/>
      <c r="F69" s="117"/>
      <c r="G69" s="117"/>
      <c r="H69" s="117"/>
      <c r="I69" s="117"/>
      <c r="J69" s="118">
        <f>J160</f>
        <v>2463266.29</v>
      </c>
      <c r="L69" s="115"/>
    </row>
    <row r="70" spans="2:12" s="1" customFormat="1" ht="21.75" customHeight="1" x14ac:dyDescent="0.3">
      <c r="B70" s="33"/>
      <c r="L70" s="33"/>
    </row>
    <row r="71" spans="2:12" s="1" customFormat="1" ht="6.95" customHeight="1" x14ac:dyDescent="0.3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33"/>
    </row>
    <row r="75" spans="2:12" s="1" customFormat="1" ht="6.95" customHeight="1" x14ac:dyDescent="0.3"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33"/>
    </row>
    <row r="76" spans="2:12" s="1" customFormat="1" ht="24.95" customHeight="1" x14ac:dyDescent="0.3">
      <c r="B76" s="33"/>
      <c r="C76" s="22" t="s">
        <v>168</v>
      </c>
      <c r="L76" s="33"/>
    </row>
    <row r="77" spans="2:12" s="1" customFormat="1" ht="6.95" customHeight="1" x14ac:dyDescent="0.3">
      <c r="B77" s="33"/>
      <c r="L77" s="33"/>
    </row>
    <row r="78" spans="2:12" s="1" customFormat="1" ht="12" customHeight="1" x14ac:dyDescent="0.3">
      <c r="B78" s="33"/>
      <c r="C78" s="28" t="s">
        <v>15</v>
      </c>
      <c r="L78" s="33"/>
    </row>
    <row r="79" spans="2:12" s="1" customFormat="1" ht="16.5" customHeight="1" x14ac:dyDescent="0.3">
      <c r="B79" s="33"/>
      <c r="E79" s="324" t="str">
        <f>E7</f>
        <v>Obnova ulice Tyršova, Dobrovice - II. etapa</v>
      </c>
      <c r="F79" s="325"/>
      <c r="G79" s="325"/>
      <c r="H79" s="325"/>
      <c r="L79" s="33"/>
    </row>
    <row r="80" spans="2:12" s="1" customFormat="1" ht="12" customHeight="1" x14ac:dyDescent="0.3">
      <c r="B80" s="33"/>
      <c r="C80" s="28" t="s">
        <v>152</v>
      </c>
      <c r="L80" s="33"/>
    </row>
    <row r="81" spans="2:65" s="1" customFormat="1" ht="16.5" customHeight="1" x14ac:dyDescent="0.3">
      <c r="B81" s="33"/>
      <c r="E81" s="308" t="str">
        <f>E9</f>
        <v>VON - Všeobecné a obecné náklady CELKEM VDV I. etapa a II. etapa</v>
      </c>
      <c r="F81" s="326"/>
      <c r="G81" s="326"/>
      <c r="H81" s="326"/>
      <c r="L81" s="33"/>
    </row>
    <row r="82" spans="2:65" s="1" customFormat="1" ht="6.95" customHeight="1" x14ac:dyDescent="0.3">
      <c r="B82" s="33"/>
      <c r="L82" s="33"/>
    </row>
    <row r="83" spans="2:65" s="1" customFormat="1" ht="12" customHeight="1" x14ac:dyDescent="0.3">
      <c r="B83" s="33"/>
      <c r="C83" s="28" t="s">
        <v>21</v>
      </c>
      <c r="F83" s="26" t="str">
        <f>F12</f>
        <v>Dobrovice</v>
      </c>
      <c r="I83" s="28" t="s">
        <v>23</v>
      </c>
      <c r="J83" s="53">
        <f>IF(J12="","",J12)</f>
        <v>45678</v>
      </c>
      <c r="L83" s="33"/>
    </row>
    <row r="84" spans="2:65" s="1" customFormat="1" ht="6.95" customHeight="1" x14ac:dyDescent="0.3">
      <c r="B84" s="33"/>
      <c r="L84" s="33"/>
    </row>
    <row r="85" spans="2:65" s="1" customFormat="1" ht="25.7" customHeight="1" x14ac:dyDescent="0.3">
      <c r="B85" s="33"/>
      <c r="C85" s="28" t="s">
        <v>28</v>
      </c>
      <c r="F85" s="26" t="str">
        <f>E15</f>
        <v>Město Dobrovice, Palckého nám. 28, 294 41</v>
      </c>
      <c r="I85" s="28" t="s">
        <v>34</v>
      </c>
      <c r="J85" s="96" t="str">
        <f>E21</f>
        <v>Ing. arch. Martin Jirovský Ph.D., MBA</v>
      </c>
      <c r="L85" s="33"/>
    </row>
    <row r="86" spans="2:65" s="1" customFormat="1" ht="40.15" customHeight="1" x14ac:dyDescent="0.3">
      <c r="B86" s="33"/>
      <c r="C86" s="28" t="s">
        <v>33</v>
      </c>
      <c r="F86" s="26">
        <f>IF(E18="","",E18)</f>
        <v>0</v>
      </c>
      <c r="I86" s="28" t="s">
        <v>38</v>
      </c>
      <c r="J86" s="96" t="str">
        <f>E24</f>
        <v>ROAD M.A.A.T. s.r.o., Petra Stejskalová</v>
      </c>
      <c r="L86" s="33"/>
    </row>
    <row r="87" spans="2:65" s="1" customFormat="1" ht="10.35" customHeight="1" x14ac:dyDescent="0.3">
      <c r="B87" s="33"/>
      <c r="L87" s="33"/>
    </row>
    <row r="88" spans="2:65" s="10" customFormat="1" ht="29.25" customHeight="1" x14ac:dyDescent="0.3">
      <c r="B88" s="119"/>
      <c r="C88" s="120" t="s">
        <v>169</v>
      </c>
      <c r="D88" s="121" t="s">
        <v>66</v>
      </c>
      <c r="E88" s="121" t="s">
        <v>63</v>
      </c>
      <c r="F88" s="121" t="s">
        <v>170</v>
      </c>
      <c r="G88" s="121" t="s">
        <v>171</v>
      </c>
      <c r="H88" s="121" t="s">
        <v>172</v>
      </c>
      <c r="I88" s="121" t="s">
        <v>173</v>
      </c>
      <c r="J88" s="121" t="s">
        <v>157</v>
      </c>
      <c r="K88" s="122" t="s">
        <v>174</v>
      </c>
      <c r="L88" s="119"/>
      <c r="M88" s="60" t="s">
        <v>1</v>
      </c>
      <c r="N88" s="61" t="s">
        <v>46</v>
      </c>
      <c r="O88" s="61" t="s">
        <v>175</v>
      </c>
      <c r="P88" s="61" t="s">
        <v>176</v>
      </c>
      <c r="Q88" s="61" t="s">
        <v>177</v>
      </c>
      <c r="R88" s="61" t="s">
        <v>178</v>
      </c>
      <c r="S88" s="61" t="s">
        <v>179</v>
      </c>
      <c r="T88" s="62" t="s">
        <v>180</v>
      </c>
    </row>
    <row r="89" spans="2:65" s="1" customFormat="1" ht="22.9" customHeight="1" x14ac:dyDescent="0.25">
      <c r="B89" s="33"/>
      <c r="C89" s="65" t="s">
        <v>181</v>
      </c>
      <c r="J89" s="123">
        <f>BK89</f>
        <v>6031000.5899999999</v>
      </c>
      <c r="L89" s="33"/>
      <c r="M89" s="63"/>
      <c r="N89" s="54"/>
      <c r="O89" s="54"/>
      <c r="P89" s="124">
        <f>P90+P94</f>
        <v>1.2999999999999999E-2</v>
      </c>
      <c r="Q89" s="54"/>
      <c r="R89" s="124">
        <f>R90+R94</f>
        <v>0</v>
      </c>
      <c r="S89" s="54"/>
      <c r="T89" s="125">
        <f>T90+T94</f>
        <v>0.02</v>
      </c>
      <c r="AT89" s="18" t="s">
        <v>80</v>
      </c>
      <c r="AU89" s="18" t="s">
        <v>159</v>
      </c>
      <c r="BK89" s="126">
        <f>BK90+BK94</f>
        <v>6031000.5899999999</v>
      </c>
    </row>
    <row r="90" spans="2:65" s="11" customFormat="1" ht="25.9" customHeight="1" x14ac:dyDescent="0.2">
      <c r="B90" s="127"/>
      <c r="D90" s="128" t="s">
        <v>80</v>
      </c>
      <c r="E90" s="129" t="s">
        <v>182</v>
      </c>
      <c r="F90" s="129" t="s">
        <v>183</v>
      </c>
      <c r="J90" s="130">
        <f>BK90</f>
        <v>92740.27</v>
      </c>
      <c r="L90" s="127"/>
      <c r="M90" s="131"/>
      <c r="P90" s="132">
        <f>P91</f>
        <v>1.2999999999999999E-2</v>
      </c>
      <c r="R90" s="132">
        <f>R91</f>
        <v>0</v>
      </c>
      <c r="T90" s="133">
        <f>T91</f>
        <v>0.02</v>
      </c>
      <c r="AR90" s="128" t="s">
        <v>88</v>
      </c>
      <c r="AT90" s="134" t="s">
        <v>80</v>
      </c>
      <c r="AU90" s="134" t="s">
        <v>81</v>
      </c>
      <c r="AY90" s="128" t="s">
        <v>184</v>
      </c>
      <c r="BK90" s="135">
        <f>BK91</f>
        <v>92740.27</v>
      </c>
    </row>
    <row r="91" spans="2:65" s="11" customFormat="1" ht="22.9" customHeight="1" x14ac:dyDescent="0.2">
      <c r="B91" s="127"/>
      <c r="D91" s="128" t="s">
        <v>80</v>
      </c>
      <c r="E91" s="136" t="s">
        <v>245</v>
      </c>
      <c r="F91" s="136" t="s">
        <v>304</v>
      </c>
      <c r="J91" s="137">
        <f>BK91</f>
        <v>92740.27</v>
      </c>
      <c r="L91" s="127"/>
      <c r="M91" s="131"/>
      <c r="P91" s="132">
        <f>SUM(P92:P93)</f>
        <v>1.2999999999999999E-2</v>
      </c>
      <c r="R91" s="132">
        <f>SUM(R92:R93)</f>
        <v>0</v>
      </c>
      <c r="T91" s="133">
        <f>SUM(T92:T93)</f>
        <v>0.02</v>
      </c>
      <c r="AR91" s="128" t="s">
        <v>88</v>
      </c>
      <c r="AT91" s="134" t="s">
        <v>80</v>
      </c>
      <c r="AU91" s="134" t="s">
        <v>88</v>
      </c>
      <c r="AY91" s="128" t="s">
        <v>184</v>
      </c>
      <c r="BK91" s="135">
        <f>SUM(BK92:BK93)</f>
        <v>92740.27</v>
      </c>
    </row>
    <row r="92" spans="2:65" s="1" customFormat="1" ht="21.75" customHeight="1" x14ac:dyDescent="0.3">
      <c r="B92" s="33"/>
      <c r="C92" s="138" t="s">
        <v>88</v>
      </c>
      <c r="D92" s="138" t="s">
        <v>186</v>
      </c>
      <c r="E92" s="139" t="s">
        <v>478</v>
      </c>
      <c r="F92" s="140" t="s">
        <v>1685</v>
      </c>
      <c r="G92" s="141" t="s">
        <v>1149</v>
      </c>
      <c r="H92" s="142">
        <v>1</v>
      </c>
      <c r="I92" s="143">
        <v>92740.27</v>
      </c>
      <c r="J92" s="144">
        <f>ROUND(I92*H92,2)</f>
        <v>92740.27</v>
      </c>
      <c r="K92" s="140" t="s">
        <v>1</v>
      </c>
      <c r="L92" s="33"/>
      <c r="M92" s="145" t="s">
        <v>1</v>
      </c>
      <c r="N92" s="146" t="s">
        <v>47</v>
      </c>
      <c r="O92" s="147">
        <v>1.2999999999999999E-2</v>
      </c>
      <c r="P92" s="147">
        <f>O92*H92</f>
        <v>1.2999999999999999E-2</v>
      </c>
      <c r="Q92" s="147">
        <v>0</v>
      </c>
      <c r="R92" s="147">
        <f>Q92*H92</f>
        <v>0</v>
      </c>
      <c r="S92" s="147">
        <v>0.02</v>
      </c>
      <c r="T92" s="148">
        <f>S92*H92</f>
        <v>0.02</v>
      </c>
      <c r="AR92" s="149" t="s">
        <v>191</v>
      </c>
      <c r="AT92" s="149" t="s">
        <v>186</v>
      </c>
      <c r="AU92" s="149" t="s">
        <v>20</v>
      </c>
      <c r="AY92" s="18" t="s">
        <v>184</v>
      </c>
      <c r="BE92" s="150">
        <f>IF(N92="základní",J92,0)</f>
        <v>92740.27</v>
      </c>
      <c r="BF92" s="150">
        <f>IF(N92="snížená",J92,0)</f>
        <v>0</v>
      </c>
      <c r="BG92" s="150">
        <f>IF(N92="zákl. přenesená",J92,0)</f>
        <v>0</v>
      </c>
      <c r="BH92" s="150">
        <f>IF(N92="sníž. přenesená",J92,0)</f>
        <v>0</v>
      </c>
      <c r="BI92" s="150">
        <f>IF(N92="nulová",J92,0)</f>
        <v>0</v>
      </c>
      <c r="BJ92" s="18" t="s">
        <v>88</v>
      </c>
      <c r="BK92" s="150">
        <f>ROUND(I92*H92,2)</f>
        <v>92740.27</v>
      </c>
      <c r="BL92" s="18" t="s">
        <v>191</v>
      </c>
      <c r="BM92" s="149" t="s">
        <v>2237</v>
      </c>
    </row>
    <row r="93" spans="2:65" s="1" customFormat="1" ht="19.5" x14ac:dyDescent="0.3">
      <c r="B93" s="33"/>
      <c r="D93" s="156" t="s">
        <v>236</v>
      </c>
      <c r="F93" s="170" t="s">
        <v>2238</v>
      </c>
      <c r="I93" s="153"/>
      <c r="L93" s="33"/>
      <c r="M93" s="154"/>
      <c r="T93" s="57"/>
      <c r="AT93" s="18" t="s">
        <v>236</v>
      </c>
      <c r="AU93" s="18" t="s">
        <v>20</v>
      </c>
    </row>
    <row r="94" spans="2:65" s="11" customFormat="1" ht="25.9" customHeight="1" x14ac:dyDescent="0.2">
      <c r="B94" s="127"/>
      <c r="D94" s="128" t="s">
        <v>80</v>
      </c>
      <c r="E94" s="129" t="s">
        <v>1142</v>
      </c>
      <c r="F94" s="129" t="s">
        <v>1143</v>
      </c>
      <c r="I94" s="171"/>
      <c r="J94" s="130">
        <f>BK94</f>
        <v>5938260.3200000003</v>
      </c>
      <c r="L94" s="127"/>
      <c r="M94" s="131"/>
      <c r="P94" s="132">
        <f>P95+P118+P123+P136+P151+P153+P160</f>
        <v>0</v>
      </c>
      <c r="R94" s="132">
        <f>R95+R118+R123+R136+R151+R153+R160</f>
        <v>0</v>
      </c>
      <c r="T94" s="133">
        <f>T95+T118+T123+T136+T151+T153+T160</f>
        <v>0</v>
      </c>
      <c r="AG94" s="11">
        <f>ROUND(SUM(AG95:AG114),2)</f>
        <v>0</v>
      </c>
      <c r="AR94" s="128" t="s">
        <v>214</v>
      </c>
      <c r="AT94" s="134" t="s">
        <v>80</v>
      </c>
      <c r="AU94" s="134" t="s">
        <v>81</v>
      </c>
      <c r="AY94" s="128" t="s">
        <v>184</v>
      </c>
      <c r="BK94" s="135">
        <f>BK95+BK118+BK123+BK136+BK151+BK153+BK160</f>
        <v>5938260.3200000003</v>
      </c>
    </row>
    <row r="95" spans="2:65" s="11" customFormat="1" ht="22.9" customHeight="1" x14ac:dyDescent="0.2">
      <c r="B95" s="127"/>
      <c r="D95" s="128" t="s">
        <v>80</v>
      </c>
      <c r="E95" s="136" t="s">
        <v>2239</v>
      </c>
      <c r="F95" s="136" t="s">
        <v>2240</v>
      </c>
      <c r="I95" s="171"/>
      <c r="J95" s="137">
        <f>BK95</f>
        <v>375241.39999999991</v>
      </c>
      <c r="L95" s="127"/>
      <c r="M95" s="131"/>
      <c r="P95" s="132">
        <f>SUM(P96:P117)</f>
        <v>0</v>
      </c>
      <c r="R95" s="132">
        <f>SUM(R96:R117)</f>
        <v>0</v>
      </c>
      <c r="T95" s="133">
        <f>SUM(T96:T117)</f>
        <v>0</v>
      </c>
      <c r="AR95" s="128" t="s">
        <v>214</v>
      </c>
      <c r="AT95" s="134" t="s">
        <v>80</v>
      </c>
      <c r="AU95" s="134" t="s">
        <v>88</v>
      </c>
      <c r="AY95" s="128" t="s">
        <v>184</v>
      </c>
      <c r="BK95" s="135">
        <f>SUM(BK96:BK117)</f>
        <v>375241.39999999991</v>
      </c>
    </row>
    <row r="96" spans="2:65" s="1" customFormat="1" ht="16.5" customHeight="1" x14ac:dyDescent="0.3">
      <c r="B96" s="33"/>
      <c r="C96" s="138" t="s">
        <v>20</v>
      </c>
      <c r="D96" s="138" t="s">
        <v>186</v>
      </c>
      <c r="E96" s="139" t="s">
        <v>2241</v>
      </c>
      <c r="F96" s="140" t="s">
        <v>2242</v>
      </c>
      <c r="G96" s="141" t="s">
        <v>1149</v>
      </c>
      <c r="H96" s="142">
        <v>1</v>
      </c>
      <c r="I96" s="143">
        <v>28535.47</v>
      </c>
      <c r="J96" s="144">
        <f>ROUND(I96*H96,2)</f>
        <v>28535.47</v>
      </c>
      <c r="K96" s="140" t="s">
        <v>1</v>
      </c>
      <c r="L96" s="33"/>
      <c r="M96" s="145" t="s">
        <v>1</v>
      </c>
      <c r="N96" s="146" t="s">
        <v>47</v>
      </c>
      <c r="O96" s="147">
        <v>0</v>
      </c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49" t="s">
        <v>1150</v>
      </c>
      <c r="AT96" s="149" t="s">
        <v>186</v>
      </c>
      <c r="AU96" s="149" t="s">
        <v>20</v>
      </c>
      <c r="AY96" s="18" t="s">
        <v>184</v>
      </c>
      <c r="BE96" s="150">
        <f>IF(N96="základní",J96,0)</f>
        <v>28535.47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8" t="s">
        <v>88</v>
      </c>
      <c r="BK96" s="150">
        <f>ROUND(I96*H96,2)</f>
        <v>28535.47</v>
      </c>
      <c r="BL96" s="18" t="s">
        <v>1150</v>
      </c>
      <c r="BM96" s="149" t="s">
        <v>2243</v>
      </c>
    </row>
    <row r="97" spans="2:65" s="1" customFormat="1" ht="29.25" x14ac:dyDescent="0.3">
      <c r="B97" s="33"/>
      <c r="D97" s="156" t="s">
        <v>236</v>
      </c>
      <c r="F97" s="170" t="s">
        <v>2244</v>
      </c>
      <c r="I97" s="153"/>
      <c r="L97" s="33"/>
      <c r="M97" s="154"/>
      <c r="T97" s="57"/>
      <c r="AT97" s="18" t="s">
        <v>236</v>
      </c>
      <c r="AU97" s="18" t="s">
        <v>20</v>
      </c>
    </row>
    <row r="98" spans="2:65" s="1" customFormat="1" ht="16.5" customHeight="1" x14ac:dyDescent="0.3">
      <c r="B98" s="33"/>
      <c r="C98" s="138" t="s">
        <v>202</v>
      </c>
      <c r="D98" s="138" t="s">
        <v>186</v>
      </c>
      <c r="E98" s="139" t="s">
        <v>2245</v>
      </c>
      <c r="F98" s="140" t="s">
        <v>2246</v>
      </c>
      <c r="G98" s="141" t="s">
        <v>1149</v>
      </c>
      <c r="H98" s="142">
        <v>1</v>
      </c>
      <c r="I98" s="143">
        <v>12840.96</v>
      </c>
      <c r="J98" s="144">
        <f>ROUND(I98*H98,2)</f>
        <v>12840.96</v>
      </c>
      <c r="K98" s="140" t="s">
        <v>1</v>
      </c>
      <c r="L98" s="33"/>
      <c r="M98" s="145" t="s">
        <v>1</v>
      </c>
      <c r="N98" s="146" t="s">
        <v>47</v>
      </c>
      <c r="O98" s="147">
        <v>0</v>
      </c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49" t="s">
        <v>1150</v>
      </c>
      <c r="AT98" s="149" t="s">
        <v>186</v>
      </c>
      <c r="AU98" s="149" t="s">
        <v>20</v>
      </c>
      <c r="AY98" s="18" t="s">
        <v>184</v>
      </c>
      <c r="BE98" s="150">
        <f>IF(N98="základní",J98,0)</f>
        <v>12840.96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8" t="s">
        <v>88</v>
      </c>
      <c r="BK98" s="150">
        <f>ROUND(I98*H98,2)</f>
        <v>12840.96</v>
      </c>
      <c r="BL98" s="18" t="s">
        <v>1150</v>
      </c>
      <c r="BM98" s="149" t="s">
        <v>2247</v>
      </c>
    </row>
    <row r="99" spans="2:65" s="1" customFormat="1" ht="29.25" x14ac:dyDescent="0.3">
      <c r="B99" s="33"/>
      <c r="D99" s="156" t="s">
        <v>236</v>
      </c>
      <c r="F99" s="170" t="s">
        <v>2248</v>
      </c>
      <c r="I99" s="153"/>
      <c r="L99" s="33"/>
      <c r="M99" s="154"/>
      <c r="T99" s="57"/>
      <c r="AT99" s="18" t="s">
        <v>236</v>
      </c>
      <c r="AU99" s="18" t="s">
        <v>20</v>
      </c>
    </row>
    <row r="100" spans="2:65" s="1" customFormat="1" ht="16.5" customHeight="1" x14ac:dyDescent="0.3">
      <c r="B100" s="33"/>
      <c r="C100" s="138" t="s">
        <v>191</v>
      </c>
      <c r="D100" s="138" t="s">
        <v>186</v>
      </c>
      <c r="E100" s="139" t="s">
        <v>2249</v>
      </c>
      <c r="F100" s="140" t="s">
        <v>2250</v>
      </c>
      <c r="G100" s="141" t="s">
        <v>1149</v>
      </c>
      <c r="H100" s="142">
        <v>1</v>
      </c>
      <c r="I100" s="143">
        <v>7133.87</v>
      </c>
      <c r="J100" s="144">
        <f>ROUND(I100*H100,2)</f>
        <v>7133.87</v>
      </c>
      <c r="K100" s="140" t="s">
        <v>1</v>
      </c>
      <c r="L100" s="33"/>
      <c r="M100" s="145" t="s">
        <v>1</v>
      </c>
      <c r="N100" s="146" t="s">
        <v>47</v>
      </c>
      <c r="O100" s="147">
        <v>0</v>
      </c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49" t="s">
        <v>1150</v>
      </c>
      <c r="AT100" s="149" t="s">
        <v>186</v>
      </c>
      <c r="AU100" s="149" t="s">
        <v>20</v>
      </c>
      <c r="AY100" s="18" t="s">
        <v>184</v>
      </c>
      <c r="BE100" s="150">
        <f>IF(N100="základní",J100,0)</f>
        <v>7133.87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8" t="s">
        <v>88</v>
      </c>
      <c r="BK100" s="150">
        <f>ROUND(I100*H100,2)</f>
        <v>7133.87</v>
      </c>
      <c r="BL100" s="18" t="s">
        <v>1150</v>
      </c>
      <c r="BM100" s="149" t="s">
        <v>2251</v>
      </c>
    </row>
    <row r="101" spans="2:65" s="1" customFormat="1" ht="29.25" x14ac:dyDescent="0.3">
      <c r="B101" s="33"/>
      <c r="D101" s="156" t="s">
        <v>236</v>
      </c>
      <c r="F101" s="170" t="s">
        <v>2252</v>
      </c>
      <c r="I101" s="153"/>
      <c r="L101" s="33"/>
      <c r="M101" s="154"/>
      <c r="T101" s="57"/>
      <c r="AT101" s="18" t="s">
        <v>236</v>
      </c>
      <c r="AU101" s="18" t="s">
        <v>20</v>
      </c>
    </row>
    <row r="102" spans="2:65" s="1" customFormat="1" ht="16.5" customHeight="1" x14ac:dyDescent="0.3">
      <c r="B102" s="33"/>
      <c r="C102" s="138" t="s">
        <v>214</v>
      </c>
      <c r="D102" s="138" t="s">
        <v>186</v>
      </c>
      <c r="E102" s="139" t="s">
        <v>2253</v>
      </c>
      <c r="F102" s="140" t="s">
        <v>2254</v>
      </c>
      <c r="G102" s="141" t="s">
        <v>1149</v>
      </c>
      <c r="H102" s="142">
        <v>1</v>
      </c>
      <c r="I102" s="143">
        <v>21401.599999999999</v>
      </c>
      <c r="J102" s="144">
        <f>ROUND(I102*H102,2)</f>
        <v>21401.599999999999</v>
      </c>
      <c r="K102" s="140" t="s">
        <v>1</v>
      </c>
      <c r="L102" s="33"/>
      <c r="M102" s="145" t="s">
        <v>1</v>
      </c>
      <c r="N102" s="146" t="s">
        <v>47</v>
      </c>
      <c r="O102" s="147">
        <v>0</v>
      </c>
      <c r="P102" s="147">
        <f>O102*H102</f>
        <v>0</v>
      </c>
      <c r="Q102" s="147">
        <v>0</v>
      </c>
      <c r="R102" s="147">
        <f>Q102*H102</f>
        <v>0</v>
      </c>
      <c r="S102" s="147">
        <v>0</v>
      </c>
      <c r="T102" s="148">
        <f>S102*H102</f>
        <v>0</v>
      </c>
      <c r="AR102" s="149" t="s">
        <v>1150</v>
      </c>
      <c r="AT102" s="149" t="s">
        <v>186</v>
      </c>
      <c r="AU102" s="149" t="s">
        <v>20</v>
      </c>
      <c r="AY102" s="18" t="s">
        <v>184</v>
      </c>
      <c r="BE102" s="150">
        <f>IF(N102="základní",J102,0)</f>
        <v>21401.599999999999</v>
      </c>
      <c r="BF102" s="150">
        <f>IF(N102="snížená",J102,0)</f>
        <v>0</v>
      </c>
      <c r="BG102" s="150">
        <f>IF(N102="zákl. přenesená",J102,0)</f>
        <v>0</v>
      </c>
      <c r="BH102" s="150">
        <f>IF(N102="sníž. přenesená",J102,0)</f>
        <v>0</v>
      </c>
      <c r="BI102" s="150">
        <f>IF(N102="nulová",J102,0)</f>
        <v>0</v>
      </c>
      <c r="BJ102" s="18" t="s">
        <v>88</v>
      </c>
      <c r="BK102" s="150">
        <f>ROUND(I102*H102,2)</f>
        <v>21401.599999999999</v>
      </c>
      <c r="BL102" s="18" t="s">
        <v>1150</v>
      </c>
      <c r="BM102" s="149" t="s">
        <v>2255</v>
      </c>
    </row>
    <row r="103" spans="2:65" s="1" customFormat="1" ht="29.25" x14ac:dyDescent="0.3">
      <c r="B103" s="33"/>
      <c r="D103" s="156" t="s">
        <v>236</v>
      </c>
      <c r="F103" s="170" t="s">
        <v>2256</v>
      </c>
      <c r="I103" s="153"/>
      <c r="L103" s="33"/>
      <c r="M103" s="154"/>
      <c r="T103" s="57"/>
      <c r="AT103" s="18" t="s">
        <v>236</v>
      </c>
      <c r="AU103" s="18" t="s">
        <v>20</v>
      </c>
    </row>
    <row r="104" spans="2:65" s="1" customFormat="1" ht="16.5" customHeight="1" x14ac:dyDescent="0.3">
      <c r="B104" s="33"/>
      <c r="C104" s="138" t="s">
        <v>221</v>
      </c>
      <c r="D104" s="138" t="s">
        <v>186</v>
      </c>
      <c r="E104" s="139" t="s">
        <v>2257</v>
      </c>
      <c r="F104" s="140" t="s">
        <v>2258</v>
      </c>
      <c r="G104" s="141" t="s">
        <v>1149</v>
      </c>
      <c r="H104" s="142">
        <v>1</v>
      </c>
      <c r="I104" s="143">
        <v>31389.01</v>
      </c>
      <c r="J104" s="144">
        <f>ROUND(I104*H104,2)</f>
        <v>31389.01</v>
      </c>
      <c r="K104" s="140" t="s">
        <v>1</v>
      </c>
      <c r="L104" s="33"/>
      <c r="M104" s="145" t="s">
        <v>1</v>
      </c>
      <c r="N104" s="146" t="s">
        <v>47</v>
      </c>
      <c r="O104" s="147">
        <v>0</v>
      </c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49" t="s">
        <v>1150</v>
      </c>
      <c r="AT104" s="149" t="s">
        <v>186</v>
      </c>
      <c r="AU104" s="149" t="s">
        <v>20</v>
      </c>
      <c r="AY104" s="18" t="s">
        <v>184</v>
      </c>
      <c r="BE104" s="150">
        <f>IF(N104="základní",J104,0)</f>
        <v>31389.01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8" t="s">
        <v>88</v>
      </c>
      <c r="BK104" s="150">
        <f>ROUND(I104*H104,2)</f>
        <v>31389.01</v>
      </c>
      <c r="BL104" s="18" t="s">
        <v>1150</v>
      </c>
      <c r="BM104" s="149" t="s">
        <v>2259</v>
      </c>
    </row>
    <row r="105" spans="2:65" s="1" customFormat="1" ht="29.25" x14ac:dyDescent="0.3">
      <c r="B105" s="33"/>
      <c r="D105" s="156" t="s">
        <v>236</v>
      </c>
      <c r="F105" s="170" t="s">
        <v>2260</v>
      </c>
      <c r="I105" s="153"/>
      <c r="L105" s="33"/>
      <c r="M105" s="154"/>
      <c r="T105" s="57"/>
      <c r="AT105" s="18" t="s">
        <v>236</v>
      </c>
      <c r="AU105" s="18" t="s">
        <v>20</v>
      </c>
    </row>
    <row r="106" spans="2:65" s="1" customFormat="1" ht="16.5" customHeight="1" x14ac:dyDescent="0.3">
      <c r="B106" s="33"/>
      <c r="C106" s="138" t="s">
        <v>231</v>
      </c>
      <c r="D106" s="138" t="s">
        <v>186</v>
      </c>
      <c r="E106" s="139" t="s">
        <v>2261</v>
      </c>
      <c r="F106" s="140" t="s">
        <v>2262</v>
      </c>
      <c r="G106" s="141" t="s">
        <v>1149</v>
      </c>
      <c r="H106" s="142">
        <v>1</v>
      </c>
      <c r="I106" s="143">
        <v>114141.87</v>
      </c>
      <c r="J106" s="144">
        <f>ROUND(I106*H106,2)</f>
        <v>114141.87</v>
      </c>
      <c r="K106" s="140" t="s">
        <v>1</v>
      </c>
      <c r="L106" s="33"/>
      <c r="M106" s="145" t="s">
        <v>1</v>
      </c>
      <c r="N106" s="146" t="s">
        <v>47</v>
      </c>
      <c r="O106" s="147">
        <v>0</v>
      </c>
      <c r="P106" s="147">
        <f>O106*H106</f>
        <v>0</v>
      </c>
      <c r="Q106" s="147">
        <v>0</v>
      </c>
      <c r="R106" s="147">
        <f>Q106*H106</f>
        <v>0</v>
      </c>
      <c r="S106" s="147">
        <v>0</v>
      </c>
      <c r="T106" s="148">
        <f>S106*H106</f>
        <v>0</v>
      </c>
      <c r="AR106" s="149" t="s">
        <v>1150</v>
      </c>
      <c r="AT106" s="149" t="s">
        <v>186</v>
      </c>
      <c r="AU106" s="149" t="s">
        <v>20</v>
      </c>
      <c r="AY106" s="18" t="s">
        <v>184</v>
      </c>
      <c r="BE106" s="150">
        <f>IF(N106="základní",J106,0)</f>
        <v>114141.87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8" t="s">
        <v>88</v>
      </c>
      <c r="BK106" s="150">
        <f>ROUND(I106*H106,2)</f>
        <v>114141.87</v>
      </c>
      <c r="BL106" s="18" t="s">
        <v>1150</v>
      </c>
      <c r="BM106" s="149" t="s">
        <v>2263</v>
      </c>
    </row>
    <row r="107" spans="2:65" s="1" customFormat="1" ht="29.25" x14ac:dyDescent="0.3">
      <c r="B107" s="33"/>
      <c r="D107" s="156" t="s">
        <v>236</v>
      </c>
      <c r="F107" s="170" t="s">
        <v>2264</v>
      </c>
      <c r="I107" s="153"/>
      <c r="L107" s="33"/>
      <c r="M107" s="154"/>
      <c r="T107" s="57"/>
      <c r="AT107" s="18" t="s">
        <v>236</v>
      </c>
      <c r="AU107" s="18" t="s">
        <v>20</v>
      </c>
    </row>
    <row r="108" spans="2:65" s="1" customFormat="1" ht="16.5" customHeight="1" x14ac:dyDescent="0.3">
      <c r="B108" s="33"/>
      <c r="C108" s="138" t="s">
        <v>239</v>
      </c>
      <c r="D108" s="138" t="s">
        <v>186</v>
      </c>
      <c r="E108" s="139" t="s">
        <v>2265</v>
      </c>
      <c r="F108" s="140" t="s">
        <v>2266</v>
      </c>
      <c r="G108" s="141" t="s">
        <v>1149</v>
      </c>
      <c r="H108" s="142">
        <v>1</v>
      </c>
      <c r="I108" s="143">
        <v>29962.240000000002</v>
      </c>
      <c r="J108" s="144">
        <f>ROUND(I108*H108,2)</f>
        <v>29962.240000000002</v>
      </c>
      <c r="K108" s="140" t="s">
        <v>1</v>
      </c>
      <c r="L108" s="33"/>
      <c r="M108" s="145" t="s">
        <v>1</v>
      </c>
      <c r="N108" s="146" t="s">
        <v>47</v>
      </c>
      <c r="O108" s="147">
        <v>0</v>
      </c>
      <c r="P108" s="147">
        <f>O108*H108</f>
        <v>0</v>
      </c>
      <c r="Q108" s="147">
        <v>0</v>
      </c>
      <c r="R108" s="147">
        <f>Q108*H108</f>
        <v>0</v>
      </c>
      <c r="S108" s="147">
        <v>0</v>
      </c>
      <c r="T108" s="148">
        <f>S108*H108</f>
        <v>0</v>
      </c>
      <c r="AR108" s="149" t="s">
        <v>1150</v>
      </c>
      <c r="AT108" s="149" t="s">
        <v>186</v>
      </c>
      <c r="AU108" s="149" t="s">
        <v>20</v>
      </c>
      <c r="AY108" s="18" t="s">
        <v>184</v>
      </c>
      <c r="BE108" s="150">
        <f>IF(N108="základní",J108,0)</f>
        <v>29962.240000000002</v>
      </c>
      <c r="BF108" s="150">
        <f>IF(N108="snížená",J108,0)</f>
        <v>0</v>
      </c>
      <c r="BG108" s="150">
        <f>IF(N108="zákl. přenesená",J108,0)</f>
        <v>0</v>
      </c>
      <c r="BH108" s="150">
        <f>IF(N108="sníž. přenesená",J108,0)</f>
        <v>0</v>
      </c>
      <c r="BI108" s="150">
        <f>IF(N108="nulová",J108,0)</f>
        <v>0</v>
      </c>
      <c r="BJ108" s="18" t="s">
        <v>88</v>
      </c>
      <c r="BK108" s="150">
        <f>ROUND(I108*H108,2)</f>
        <v>29962.240000000002</v>
      </c>
      <c r="BL108" s="18" t="s">
        <v>1150</v>
      </c>
      <c r="BM108" s="149" t="s">
        <v>2267</v>
      </c>
    </row>
    <row r="109" spans="2:65" s="1" customFormat="1" ht="39" x14ac:dyDescent="0.3">
      <c r="B109" s="33"/>
      <c r="D109" s="156" t="s">
        <v>236</v>
      </c>
      <c r="F109" s="170" t="s">
        <v>2268</v>
      </c>
      <c r="I109" s="153"/>
      <c r="L109" s="33"/>
      <c r="M109" s="154"/>
      <c r="T109" s="57"/>
      <c r="AT109" s="18" t="s">
        <v>236</v>
      </c>
      <c r="AU109" s="18" t="s">
        <v>20</v>
      </c>
    </row>
    <row r="110" spans="2:65" s="1" customFormat="1" ht="16.5" customHeight="1" x14ac:dyDescent="0.3">
      <c r="B110" s="33"/>
      <c r="C110" s="138" t="s">
        <v>245</v>
      </c>
      <c r="D110" s="138" t="s">
        <v>186</v>
      </c>
      <c r="E110" s="139" t="s">
        <v>2269</v>
      </c>
      <c r="F110" s="140" t="s">
        <v>2270</v>
      </c>
      <c r="G110" s="141" t="s">
        <v>1149</v>
      </c>
      <c r="H110" s="142">
        <v>1</v>
      </c>
      <c r="I110" s="143">
        <v>27108.69</v>
      </c>
      <c r="J110" s="144">
        <f>ROUND(I110*H110,2)</f>
        <v>27108.69</v>
      </c>
      <c r="K110" s="140" t="s">
        <v>1</v>
      </c>
      <c r="L110" s="33"/>
      <c r="M110" s="145" t="s">
        <v>1</v>
      </c>
      <c r="N110" s="146" t="s">
        <v>47</v>
      </c>
      <c r="O110" s="147">
        <v>0</v>
      </c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AR110" s="149" t="s">
        <v>1150</v>
      </c>
      <c r="AT110" s="149" t="s">
        <v>186</v>
      </c>
      <c r="AU110" s="149" t="s">
        <v>20</v>
      </c>
      <c r="AY110" s="18" t="s">
        <v>184</v>
      </c>
      <c r="BE110" s="150">
        <f>IF(N110="základní",J110,0)</f>
        <v>27108.69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8" t="s">
        <v>88</v>
      </c>
      <c r="BK110" s="150">
        <f>ROUND(I110*H110,2)</f>
        <v>27108.69</v>
      </c>
      <c r="BL110" s="18" t="s">
        <v>1150</v>
      </c>
      <c r="BM110" s="149" t="s">
        <v>2271</v>
      </c>
    </row>
    <row r="111" spans="2:65" s="1" customFormat="1" ht="19.5" x14ac:dyDescent="0.3">
      <c r="B111" s="33"/>
      <c r="D111" s="156" t="s">
        <v>236</v>
      </c>
      <c r="F111" s="170" t="s">
        <v>2272</v>
      </c>
      <c r="I111" s="153"/>
      <c r="L111" s="33"/>
      <c r="M111" s="154"/>
      <c r="T111" s="57"/>
      <c r="AT111" s="18" t="s">
        <v>236</v>
      </c>
      <c r="AU111" s="18" t="s">
        <v>20</v>
      </c>
    </row>
    <row r="112" spans="2:65" s="1" customFormat="1" ht="16.5" customHeight="1" x14ac:dyDescent="0.3">
      <c r="B112" s="33"/>
      <c r="C112" s="138" t="s">
        <v>252</v>
      </c>
      <c r="D112" s="138" t="s">
        <v>186</v>
      </c>
      <c r="E112" s="139" t="s">
        <v>2273</v>
      </c>
      <c r="F112" s="140" t="s">
        <v>2274</v>
      </c>
      <c r="G112" s="141" t="s">
        <v>1149</v>
      </c>
      <c r="H112" s="142">
        <v>1</v>
      </c>
      <c r="I112" s="143">
        <v>78472.539999999994</v>
      </c>
      <c r="J112" s="144">
        <f>ROUND(I112*H112,2)</f>
        <v>78472.539999999994</v>
      </c>
      <c r="K112" s="140" t="s">
        <v>1</v>
      </c>
      <c r="L112" s="33"/>
      <c r="M112" s="145" t="s">
        <v>1</v>
      </c>
      <c r="N112" s="146" t="s">
        <v>47</v>
      </c>
      <c r="O112" s="147">
        <v>0</v>
      </c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49" t="s">
        <v>1150</v>
      </c>
      <c r="AT112" s="149" t="s">
        <v>186</v>
      </c>
      <c r="AU112" s="149" t="s">
        <v>20</v>
      </c>
      <c r="AY112" s="18" t="s">
        <v>184</v>
      </c>
      <c r="BE112" s="150">
        <f>IF(N112="základní",J112,0)</f>
        <v>78472.539999999994</v>
      </c>
      <c r="BF112" s="150">
        <f>IF(N112="snížená",J112,0)</f>
        <v>0</v>
      </c>
      <c r="BG112" s="150">
        <f>IF(N112="zákl. přenesená",J112,0)</f>
        <v>0</v>
      </c>
      <c r="BH112" s="150">
        <f>IF(N112="sníž. přenesená",J112,0)</f>
        <v>0</v>
      </c>
      <c r="BI112" s="150">
        <f>IF(N112="nulová",J112,0)</f>
        <v>0</v>
      </c>
      <c r="BJ112" s="18" t="s">
        <v>88</v>
      </c>
      <c r="BK112" s="150">
        <f>ROUND(I112*H112,2)</f>
        <v>78472.539999999994</v>
      </c>
      <c r="BL112" s="18" t="s">
        <v>1150</v>
      </c>
      <c r="BM112" s="149" t="s">
        <v>2275</v>
      </c>
    </row>
    <row r="113" spans="2:65" s="1" customFormat="1" ht="29.25" x14ac:dyDescent="0.3">
      <c r="B113" s="33"/>
      <c r="D113" s="156" t="s">
        <v>236</v>
      </c>
      <c r="F113" s="170" t="s">
        <v>2276</v>
      </c>
      <c r="I113" s="153"/>
      <c r="L113" s="33"/>
      <c r="M113" s="154"/>
      <c r="T113" s="57"/>
      <c r="AT113" s="18" t="s">
        <v>236</v>
      </c>
      <c r="AU113" s="18" t="s">
        <v>20</v>
      </c>
    </row>
    <row r="114" spans="2:65" s="1" customFormat="1" ht="16.5" customHeight="1" x14ac:dyDescent="0.3">
      <c r="B114" s="33"/>
      <c r="C114" s="138" t="s">
        <v>257</v>
      </c>
      <c r="D114" s="138" t="s">
        <v>186</v>
      </c>
      <c r="E114" s="139" t="s">
        <v>2277</v>
      </c>
      <c r="F114" s="140" t="s">
        <v>2278</v>
      </c>
      <c r="G114" s="141" t="s">
        <v>1149</v>
      </c>
      <c r="H114" s="142">
        <v>1</v>
      </c>
      <c r="I114" s="143">
        <v>17121.28</v>
      </c>
      <c r="J114" s="144">
        <f>ROUND(I114*H114,2)</f>
        <v>17121.28</v>
      </c>
      <c r="K114" s="140" t="s">
        <v>1</v>
      </c>
      <c r="L114" s="33"/>
      <c r="M114" s="145" t="s">
        <v>1</v>
      </c>
      <c r="N114" s="146" t="s">
        <v>47</v>
      </c>
      <c r="O114" s="147">
        <v>0</v>
      </c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49" t="s">
        <v>1150</v>
      </c>
      <c r="AT114" s="149" t="s">
        <v>186</v>
      </c>
      <c r="AU114" s="149" t="s">
        <v>20</v>
      </c>
      <c r="AY114" s="18" t="s">
        <v>184</v>
      </c>
      <c r="BE114" s="150">
        <f>IF(N114="základní",J114,0)</f>
        <v>17121.28</v>
      </c>
      <c r="BF114" s="150">
        <f>IF(N114="snížená",J114,0)</f>
        <v>0</v>
      </c>
      <c r="BG114" s="150">
        <f>IF(N114="zákl. přenesená",J114,0)</f>
        <v>0</v>
      </c>
      <c r="BH114" s="150">
        <f>IF(N114="sníž. přenesená",J114,0)</f>
        <v>0</v>
      </c>
      <c r="BI114" s="150">
        <f>IF(N114="nulová",J114,0)</f>
        <v>0</v>
      </c>
      <c r="BJ114" s="18" t="s">
        <v>88</v>
      </c>
      <c r="BK114" s="150">
        <f>ROUND(I114*H114,2)</f>
        <v>17121.28</v>
      </c>
      <c r="BL114" s="18" t="s">
        <v>1150</v>
      </c>
      <c r="BM114" s="149" t="s">
        <v>2279</v>
      </c>
    </row>
    <row r="115" spans="2:65" s="1" customFormat="1" ht="19.5" x14ac:dyDescent="0.3">
      <c r="B115" s="33"/>
      <c r="D115" s="156" t="s">
        <v>236</v>
      </c>
      <c r="F115" s="170" t="s">
        <v>2280</v>
      </c>
      <c r="I115" s="153"/>
      <c r="L115" s="33"/>
      <c r="M115" s="154"/>
      <c r="T115" s="57"/>
      <c r="AT115" s="18" t="s">
        <v>236</v>
      </c>
      <c r="AU115" s="18" t="s">
        <v>20</v>
      </c>
    </row>
    <row r="116" spans="2:65" s="1" customFormat="1" ht="16.5" customHeight="1" x14ac:dyDescent="0.3">
      <c r="B116" s="33"/>
      <c r="C116" s="138" t="s">
        <v>264</v>
      </c>
      <c r="D116" s="138" t="s">
        <v>186</v>
      </c>
      <c r="E116" s="139" t="s">
        <v>2281</v>
      </c>
      <c r="F116" s="140" t="s">
        <v>2282</v>
      </c>
      <c r="G116" s="141" t="s">
        <v>1149</v>
      </c>
      <c r="H116" s="142">
        <v>1</v>
      </c>
      <c r="I116" s="143">
        <v>7133.87</v>
      </c>
      <c r="J116" s="144">
        <f>ROUND(I116*H116,2)</f>
        <v>7133.87</v>
      </c>
      <c r="K116" s="140" t="s">
        <v>1</v>
      </c>
      <c r="L116" s="33"/>
      <c r="M116" s="145" t="s">
        <v>1</v>
      </c>
      <c r="N116" s="146" t="s">
        <v>47</v>
      </c>
      <c r="O116" s="147">
        <v>0</v>
      </c>
      <c r="P116" s="147">
        <f>O116*H116</f>
        <v>0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49" t="s">
        <v>1150</v>
      </c>
      <c r="AT116" s="149" t="s">
        <v>186</v>
      </c>
      <c r="AU116" s="149" t="s">
        <v>20</v>
      </c>
      <c r="AY116" s="18" t="s">
        <v>184</v>
      </c>
      <c r="BE116" s="150">
        <f>IF(N116="základní",J116,0)</f>
        <v>7133.87</v>
      </c>
      <c r="BF116" s="150">
        <f>IF(N116="snížená",J116,0)</f>
        <v>0</v>
      </c>
      <c r="BG116" s="150">
        <f>IF(N116="zákl. přenesená",J116,0)</f>
        <v>0</v>
      </c>
      <c r="BH116" s="150">
        <f>IF(N116="sníž. přenesená",J116,0)</f>
        <v>0</v>
      </c>
      <c r="BI116" s="150">
        <f>IF(N116="nulová",J116,0)</f>
        <v>0</v>
      </c>
      <c r="BJ116" s="18" t="s">
        <v>88</v>
      </c>
      <c r="BK116" s="150">
        <f>ROUND(I116*H116,2)</f>
        <v>7133.87</v>
      </c>
      <c r="BL116" s="18" t="s">
        <v>1150</v>
      </c>
      <c r="BM116" s="149" t="s">
        <v>2283</v>
      </c>
    </row>
    <row r="117" spans="2:65" s="1" customFormat="1" ht="29.25" x14ac:dyDescent="0.3">
      <c r="B117" s="33"/>
      <c r="D117" s="156" t="s">
        <v>236</v>
      </c>
      <c r="F117" s="170" t="s">
        <v>2284</v>
      </c>
      <c r="I117" s="153"/>
      <c r="L117" s="33"/>
      <c r="M117" s="154"/>
      <c r="T117" s="57"/>
      <c r="AT117" s="18" t="s">
        <v>236</v>
      </c>
      <c r="AU117" s="18" t="s">
        <v>20</v>
      </c>
    </row>
    <row r="118" spans="2:65" s="11" customFormat="1" ht="22.9" customHeight="1" x14ac:dyDescent="0.2">
      <c r="B118" s="127"/>
      <c r="D118" s="128" t="s">
        <v>80</v>
      </c>
      <c r="E118" s="136" t="s">
        <v>2285</v>
      </c>
      <c r="F118" s="136" t="s">
        <v>2286</v>
      </c>
      <c r="I118" s="171"/>
      <c r="J118" s="137">
        <f>BK118</f>
        <v>27108.69</v>
      </c>
      <c r="L118" s="127"/>
      <c r="M118" s="131"/>
      <c r="P118" s="132">
        <f>SUM(P119:P122)</f>
        <v>0</v>
      </c>
      <c r="R118" s="132">
        <f>SUM(R119:R122)</f>
        <v>0</v>
      </c>
      <c r="T118" s="133">
        <f>SUM(T119:T122)</f>
        <v>0</v>
      </c>
      <c r="AR118" s="128" t="s">
        <v>214</v>
      </c>
      <c r="AT118" s="134" t="s">
        <v>80</v>
      </c>
      <c r="AU118" s="134" t="s">
        <v>88</v>
      </c>
      <c r="AY118" s="128" t="s">
        <v>184</v>
      </c>
      <c r="BK118" s="135">
        <f>SUM(BK119:BK122)</f>
        <v>27108.69</v>
      </c>
    </row>
    <row r="119" spans="2:65" s="1" customFormat="1" ht="16.5" customHeight="1" x14ac:dyDescent="0.3">
      <c r="B119" s="33"/>
      <c r="C119" s="138" t="s">
        <v>270</v>
      </c>
      <c r="D119" s="138" t="s">
        <v>186</v>
      </c>
      <c r="E119" s="139" t="s">
        <v>2287</v>
      </c>
      <c r="F119" s="140" t="s">
        <v>2286</v>
      </c>
      <c r="G119" s="141" t="s">
        <v>1149</v>
      </c>
      <c r="H119" s="142">
        <v>1</v>
      </c>
      <c r="I119" s="143">
        <v>21401.599999999999</v>
      </c>
      <c r="J119" s="144">
        <f>ROUND(I119*H119,2)</f>
        <v>21401.599999999999</v>
      </c>
      <c r="K119" s="140" t="s">
        <v>1</v>
      </c>
      <c r="L119" s="33"/>
      <c r="M119" s="145" t="s">
        <v>1</v>
      </c>
      <c r="N119" s="146" t="s">
        <v>47</v>
      </c>
      <c r="O119" s="147">
        <v>0</v>
      </c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49" t="s">
        <v>1150</v>
      </c>
      <c r="AT119" s="149" t="s">
        <v>186</v>
      </c>
      <c r="AU119" s="149" t="s">
        <v>20</v>
      </c>
      <c r="AY119" s="18" t="s">
        <v>184</v>
      </c>
      <c r="BE119" s="150">
        <f>IF(N119="základní",J119,0)</f>
        <v>21401.599999999999</v>
      </c>
      <c r="BF119" s="150">
        <f>IF(N119="snížená",J119,0)</f>
        <v>0</v>
      </c>
      <c r="BG119" s="150">
        <f>IF(N119="zákl. přenesená",J119,0)</f>
        <v>0</v>
      </c>
      <c r="BH119" s="150">
        <f>IF(N119="sníž. přenesená",J119,0)</f>
        <v>0</v>
      </c>
      <c r="BI119" s="150">
        <f>IF(N119="nulová",J119,0)</f>
        <v>0</v>
      </c>
      <c r="BJ119" s="18" t="s">
        <v>88</v>
      </c>
      <c r="BK119" s="150">
        <f>ROUND(I119*H119,2)</f>
        <v>21401.599999999999</v>
      </c>
      <c r="BL119" s="18" t="s">
        <v>1150</v>
      </c>
      <c r="BM119" s="149" t="s">
        <v>2288</v>
      </c>
    </row>
    <row r="120" spans="2:65" s="1" customFormat="1" ht="29.25" x14ac:dyDescent="0.3">
      <c r="B120" s="33"/>
      <c r="D120" s="156" t="s">
        <v>236</v>
      </c>
      <c r="F120" s="170" t="s">
        <v>2289</v>
      </c>
      <c r="I120" s="153"/>
      <c r="L120" s="33"/>
      <c r="M120" s="154"/>
      <c r="T120" s="57"/>
      <c r="AT120" s="18" t="s">
        <v>236</v>
      </c>
      <c r="AU120" s="18" t="s">
        <v>20</v>
      </c>
    </row>
    <row r="121" spans="2:65" s="1" customFormat="1" ht="16.5" customHeight="1" x14ac:dyDescent="0.3">
      <c r="B121" s="33"/>
      <c r="C121" s="138" t="s">
        <v>276</v>
      </c>
      <c r="D121" s="138" t="s">
        <v>186</v>
      </c>
      <c r="E121" s="139" t="s">
        <v>2290</v>
      </c>
      <c r="F121" s="140" t="s">
        <v>2291</v>
      </c>
      <c r="G121" s="141" t="s">
        <v>1149</v>
      </c>
      <c r="H121" s="142">
        <v>1</v>
      </c>
      <c r="I121" s="143">
        <v>5707.09</v>
      </c>
      <c r="J121" s="144">
        <f>ROUND(I121*H121,2)</f>
        <v>5707.09</v>
      </c>
      <c r="K121" s="140" t="s">
        <v>1</v>
      </c>
      <c r="L121" s="33"/>
      <c r="M121" s="145" t="s">
        <v>1</v>
      </c>
      <c r="N121" s="146" t="s">
        <v>47</v>
      </c>
      <c r="O121" s="147">
        <v>0</v>
      </c>
      <c r="P121" s="147">
        <f>O121*H121</f>
        <v>0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AR121" s="149" t="s">
        <v>1150</v>
      </c>
      <c r="AT121" s="149" t="s">
        <v>186</v>
      </c>
      <c r="AU121" s="149" t="s">
        <v>20</v>
      </c>
      <c r="AY121" s="18" t="s">
        <v>184</v>
      </c>
      <c r="BE121" s="150">
        <f>IF(N121="základní",J121,0)</f>
        <v>5707.09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8" t="s">
        <v>88</v>
      </c>
      <c r="BK121" s="150">
        <f>ROUND(I121*H121,2)</f>
        <v>5707.09</v>
      </c>
      <c r="BL121" s="18" t="s">
        <v>1150</v>
      </c>
      <c r="BM121" s="149" t="s">
        <v>2292</v>
      </c>
    </row>
    <row r="122" spans="2:65" s="1" customFormat="1" ht="48.75" x14ac:dyDescent="0.3">
      <c r="B122" s="33"/>
      <c r="D122" s="156" t="s">
        <v>236</v>
      </c>
      <c r="F122" s="170" t="s">
        <v>2293</v>
      </c>
      <c r="I122" s="153"/>
      <c r="L122" s="33"/>
      <c r="M122" s="154"/>
      <c r="T122" s="57"/>
      <c r="AT122" s="18" t="s">
        <v>236</v>
      </c>
      <c r="AU122" s="18" t="s">
        <v>20</v>
      </c>
    </row>
    <row r="123" spans="2:65" s="11" customFormat="1" ht="22.9" customHeight="1" x14ac:dyDescent="0.2">
      <c r="B123" s="127"/>
      <c r="D123" s="128" t="s">
        <v>80</v>
      </c>
      <c r="E123" s="136" t="s">
        <v>2294</v>
      </c>
      <c r="F123" s="136" t="s">
        <v>2295</v>
      </c>
      <c r="I123" s="171"/>
      <c r="J123" s="137">
        <f>BK123</f>
        <v>1969501.93</v>
      </c>
      <c r="L123" s="127"/>
      <c r="M123" s="131"/>
      <c r="P123" s="132">
        <f>SUM(P124:P135)</f>
        <v>0</v>
      </c>
      <c r="R123" s="132">
        <f>SUM(R124:R135)</f>
        <v>0</v>
      </c>
      <c r="T123" s="133">
        <f>SUM(T124:T135)</f>
        <v>0</v>
      </c>
      <c r="AR123" s="128" t="s">
        <v>214</v>
      </c>
      <c r="AT123" s="134" t="s">
        <v>80</v>
      </c>
      <c r="AU123" s="134" t="s">
        <v>88</v>
      </c>
      <c r="AY123" s="128" t="s">
        <v>184</v>
      </c>
      <c r="BK123" s="135">
        <f>SUM(BK124:BK135)</f>
        <v>1969501.93</v>
      </c>
    </row>
    <row r="124" spans="2:65" s="1" customFormat="1" ht="16.5" customHeight="1" x14ac:dyDescent="0.3">
      <c r="B124" s="33"/>
      <c r="C124" s="138" t="s">
        <v>7</v>
      </c>
      <c r="D124" s="138" t="s">
        <v>186</v>
      </c>
      <c r="E124" s="139" t="s">
        <v>2296</v>
      </c>
      <c r="F124" s="140" t="s">
        <v>2297</v>
      </c>
      <c r="G124" s="141" t="s">
        <v>1149</v>
      </c>
      <c r="H124" s="142">
        <v>1</v>
      </c>
      <c r="I124" s="143">
        <v>8560.64</v>
      </c>
      <c r="J124" s="144">
        <f>ROUND(I124*H124,2)</f>
        <v>8560.64</v>
      </c>
      <c r="K124" s="140" t="s">
        <v>1</v>
      </c>
      <c r="L124" s="33"/>
      <c r="M124" s="145" t="s">
        <v>1</v>
      </c>
      <c r="N124" s="146" t="s">
        <v>47</v>
      </c>
      <c r="O124" s="147">
        <v>0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49" t="s">
        <v>1150</v>
      </c>
      <c r="AT124" s="149" t="s">
        <v>186</v>
      </c>
      <c r="AU124" s="149" t="s">
        <v>20</v>
      </c>
      <c r="AY124" s="18" t="s">
        <v>184</v>
      </c>
      <c r="BE124" s="150">
        <f>IF(N124="základní",J124,0)</f>
        <v>8560.64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8" t="s">
        <v>88</v>
      </c>
      <c r="BK124" s="150">
        <f>ROUND(I124*H124,2)</f>
        <v>8560.64</v>
      </c>
      <c r="BL124" s="18" t="s">
        <v>1150</v>
      </c>
      <c r="BM124" s="149" t="s">
        <v>2298</v>
      </c>
    </row>
    <row r="125" spans="2:65" s="1" customFormat="1" ht="29.25" x14ac:dyDescent="0.3">
      <c r="B125" s="33"/>
      <c r="D125" s="156" t="s">
        <v>236</v>
      </c>
      <c r="F125" s="170" t="s">
        <v>2299</v>
      </c>
      <c r="I125" s="153"/>
      <c r="L125" s="33"/>
      <c r="M125" s="154"/>
      <c r="T125" s="57"/>
      <c r="AT125" s="18" t="s">
        <v>236</v>
      </c>
      <c r="AU125" s="18" t="s">
        <v>20</v>
      </c>
    </row>
    <row r="126" spans="2:65" s="1" customFormat="1" ht="16.5" customHeight="1" x14ac:dyDescent="0.3">
      <c r="B126" s="33"/>
      <c r="C126" s="138" t="s">
        <v>287</v>
      </c>
      <c r="D126" s="138" t="s">
        <v>186</v>
      </c>
      <c r="E126" s="139" t="s">
        <v>2300</v>
      </c>
      <c r="F126" s="140" t="s">
        <v>2301</v>
      </c>
      <c r="G126" s="141" t="s">
        <v>1149</v>
      </c>
      <c r="H126" s="142">
        <v>1</v>
      </c>
      <c r="I126" s="143">
        <v>1861067.16</v>
      </c>
      <c r="J126" s="144">
        <f>ROUND(I126*H126,2)</f>
        <v>1861067.16</v>
      </c>
      <c r="K126" s="140" t="s">
        <v>1</v>
      </c>
      <c r="L126" s="33"/>
      <c r="M126" s="145" t="s">
        <v>1</v>
      </c>
      <c r="N126" s="146" t="s">
        <v>47</v>
      </c>
      <c r="O126" s="147">
        <v>0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1150</v>
      </c>
      <c r="AT126" s="149" t="s">
        <v>186</v>
      </c>
      <c r="AU126" s="149" t="s">
        <v>20</v>
      </c>
      <c r="AY126" s="18" t="s">
        <v>184</v>
      </c>
      <c r="BE126" s="150">
        <f>IF(N126="základní",J126,0)</f>
        <v>1861067.16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8" t="s">
        <v>88</v>
      </c>
      <c r="BK126" s="150">
        <f>ROUND(I126*H126,2)</f>
        <v>1861067.16</v>
      </c>
      <c r="BL126" s="18" t="s">
        <v>1150</v>
      </c>
      <c r="BM126" s="149" t="s">
        <v>2302</v>
      </c>
    </row>
    <row r="127" spans="2:65" s="1" customFormat="1" ht="68.25" x14ac:dyDescent="0.3">
      <c r="B127" s="33"/>
      <c r="D127" s="156" t="s">
        <v>236</v>
      </c>
      <c r="F127" s="170" t="s">
        <v>2303</v>
      </c>
      <c r="I127" s="153"/>
      <c r="L127" s="33"/>
      <c r="M127" s="154"/>
      <c r="T127" s="57"/>
      <c r="AT127" s="18" t="s">
        <v>236</v>
      </c>
      <c r="AU127" s="18" t="s">
        <v>20</v>
      </c>
    </row>
    <row r="128" spans="2:65" s="1" customFormat="1" ht="16.5" customHeight="1" x14ac:dyDescent="0.3">
      <c r="B128" s="33"/>
      <c r="C128" s="138" t="s">
        <v>293</v>
      </c>
      <c r="D128" s="138" t="s">
        <v>186</v>
      </c>
      <c r="E128" s="139" t="s">
        <v>2304</v>
      </c>
      <c r="F128" s="140" t="s">
        <v>2305</v>
      </c>
      <c r="G128" s="141" t="s">
        <v>1149</v>
      </c>
      <c r="H128" s="142">
        <v>1</v>
      </c>
      <c r="I128" s="143">
        <v>18548.05</v>
      </c>
      <c r="J128" s="144">
        <f>ROUND(I128*H128,2)</f>
        <v>18548.05</v>
      </c>
      <c r="K128" s="140" t="s">
        <v>1</v>
      </c>
      <c r="L128" s="33"/>
      <c r="M128" s="145" t="s">
        <v>1</v>
      </c>
      <c r="N128" s="146" t="s">
        <v>47</v>
      </c>
      <c r="O128" s="147">
        <v>0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1150</v>
      </c>
      <c r="AT128" s="149" t="s">
        <v>186</v>
      </c>
      <c r="AU128" s="149" t="s">
        <v>20</v>
      </c>
      <c r="AY128" s="18" t="s">
        <v>184</v>
      </c>
      <c r="BE128" s="150">
        <f>IF(N128="základní",J128,0)</f>
        <v>18548.05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18548.05</v>
      </c>
      <c r="BL128" s="18" t="s">
        <v>1150</v>
      </c>
      <c r="BM128" s="149" t="s">
        <v>2306</v>
      </c>
    </row>
    <row r="129" spans="2:65" s="1" customFormat="1" ht="39" x14ac:dyDescent="0.3">
      <c r="B129" s="33"/>
      <c r="D129" s="156" t="s">
        <v>236</v>
      </c>
      <c r="F129" s="170" t="s">
        <v>2307</v>
      </c>
      <c r="I129" s="153"/>
      <c r="L129" s="33"/>
      <c r="M129" s="154"/>
      <c r="T129" s="57"/>
      <c r="AT129" s="18" t="s">
        <v>236</v>
      </c>
      <c r="AU129" s="18" t="s">
        <v>20</v>
      </c>
    </row>
    <row r="130" spans="2:65" s="1" customFormat="1" ht="16.5" customHeight="1" x14ac:dyDescent="0.3">
      <c r="B130" s="33"/>
      <c r="C130" s="138" t="s">
        <v>299</v>
      </c>
      <c r="D130" s="138" t="s">
        <v>186</v>
      </c>
      <c r="E130" s="139" t="s">
        <v>2308</v>
      </c>
      <c r="F130" s="140" t="s">
        <v>2309</v>
      </c>
      <c r="G130" s="141" t="s">
        <v>1149</v>
      </c>
      <c r="H130" s="142">
        <v>1</v>
      </c>
      <c r="I130" s="143">
        <v>15694.51</v>
      </c>
      <c r="J130" s="144">
        <f>ROUND(I130*H130,2)</f>
        <v>15694.51</v>
      </c>
      <c r="K130" s="140" t="s">
        <v>1</v>
      </c>
      <c r="L130" s="33"/>
      <c r="M130" s="145" t="s">
        <v>1</v>
      </c>
      <c r="N130" s="146" t="s">
        <v>47</v>
      </c>
      <c r="O130" s="147">
        <v>0</v>
      </c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AR130" s="149" t="s">
        <v>1150</v>
      </c>
      <c r="AT130" s="149" t="s">
        <v>186</v>
      </c>
      <c r="AU130" s="149" t="s">
        <v>20</v>
      </c>
      <c r="AY130" s="18" t="s">
        <v>184</v>
      </c>
      <c r="BE130" s="150">
        <f>IF(N130="základní",J130,0)</f>
        <v>15694.51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8" t="s">
        <v>88</v>
      </c>
      <c r="BK130" s="150">
        <f>ROUND(I130*H130,2)</f>
        <v>15694.51</v>
      </c>
      <c r="BL130" s="18" t="s">
        <v>1150</v>
      </c>
      <c r="BM130" s="149" t="s">
        <v>2310</v>
      </c>
    </row>
    <row r="131" spans="2:65" s="1" customFormat="1" ht="68.25" x14ac:dyDescent="0.3">
      <c r="B131" s="33"/>
      <c r="D131" s="156" t="s">
        <v>236</v>
      </c>
      <c r="F131" s="170" t="s">
        <v>2311</v>
      </c>
      <c r="I131" s="153"/>
      <c r="L131" s="33"/>
      <c r="M131" s="154"/>
      <c r="T131" s="57"/>
      <c r="AT131" s="18" t="s">
        <v>236</v>
      </c>
      <c r="AU131" s="18" t="s">
        <v>20</v>
      </c>
    </row>
    <row r="132" spans="2:65" s="1" customFormat="1" ht="16.5" customHeight="1" x14ac:dyDescent="0.3">
      <c r="B132" s="33"/>
      <c r="C132" s="138" t="s">
        <v>305</v>
      </c>
      <c r="D132" s="138" t="s">
        <v>186</v>
      </c>
      <c r="E132" s="139" t="s">
        <v>2312</v>
      </c>
      <c r="F132" s="140" t="s">
        <v>2313</v>
      </c>
      <c r="G132" s="141" t="s">
        <v>1149</v>
      </c>
      <c r="H132" s="142">
        <v>1</v>
      </c>
      <c r="I132" s="143">
        <v>51363.839999999997</v>
      </c>
      <c r="J132" s="144">
        <f>ROUND(I132*H132,2)</f>
        <v>51363.839999999997</v>
      </c>
      <c r="K132" s="140" t="s">
        <v>1</v>
      </c>
      <c r="L132" s="33"/>
      <c r="M132" s="145" t="s">
        <v>1</v>
      </c>
      <c r="N132" s="146" t="s">
        <v>47</v>
      </c>
      <c r="O132" s="147">
        <v>0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49" t="s">
        <v>1150</v>
      </c>
      <c r="AT132" s="149" t="s">
        <v>186</v>
      </c>
      <c r="AU132" s="149" t="s">
        <v>20</v>
      </c>
      <c r="AY132" s="18" t="s">
        <v>184</v>
      </c>
      <c r="BE132" s="150">
        <f>IF(N132="základní",J132,0)</f>
        <v>51363.839999999997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8" t="s">
        <v>88</v>
      </c>
      <c r="BK132" s="150">
        <f>ROUND(I132*H132,2)</f>
        <v>51363.839999999997</v>
      </c>
      <c r="BL132" s="18" t="s">
        <v>1150</v>
      </c>
      <c r="BM132" s="149" t="s">
        <v>2314</v>
      </c>
    </row>
    <row r="133" spans="2:65" s="1" customFormat="1" ht="29.25" x14ac:dyDescent="0.3">
      <c r="B133" s="33"/>
      <c r="D133" s="156" t="s">
        <v>236</v>
      </c>
      <c r="F133" s="170" t="s">
        <v>2315</v>
      </c>
      <c r="I133" s="153"/>
      <c r="L133" s="33"/>
      <c r="M133" s="154"/>
      <c r="T133" s="57"/>
      <c r="AT133" s="18" t="s">
        <v>236</v>
      </c>
      <c r="AU133" s="18" t="s">
        <v>20</v>
      </c>
    </row>
    <row r="134" spans="2:65" s="1" customFormat="1" ht="16.5" customHeight="1" x14ac:dyDescent="0.3">
      <c r="B134" s="33"/>
      <c r="C134" s="138" t="s">
        <v>311</v>
      </c>
      <c r="D134" s="138" t="s">
        <v>186</v>
      </c>
      <c r="E134" s="139" t="s">
        <v>2316</v>
      </c>
      <c r="F134" s="140" t="s">
        <v>2317</v>
      </c>
      <c r="G134" s="141" t="s">
        <v>1149</v>
      </c>
      <c r="H134" s="142">
        <v>1</v>
      </c>
      <c r="I134" s="143">
        <v>14267.73</v>
      </c>
      <c r="J134" s="144">
        <f>ROUND(I134*H134,2)</f>
        <v>14267.73</v>
      </c>
      <c r="K134" s="140" t="s">
        <v>1</v>
      </c>
      <c r="L134" s="33"/>
      <c r="M134" s="145" t="s">
        <v>1</v>
      </c>
      <c r="N134" s="146" t="s">
        <v>47</v>
      </c>
      <c r="O134" s="147">
        <v>0</v>
      </c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1150</v>
      </c>
      <c r="AT134" s="149" t="s">
        <v>186</v>
      </c>
      <c r="AU134" s="149" t="s">
        <v>20</v>
      </c>
      <c r="AY134" s="18" t="s">
        <v>184</v>
      </c>
      <c r="BE134" s="150">
        <f>IF(N134="základní",J134,0)</f>
        <v>14267.73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8" t="s">
        <v>88</v>
      </c>
      <c r="BK134" s="150">
        <f>ROUND(I134*H134,2)</f>
        <v>14267.73</v>
      </c>
      <c r="BL134" s="18" t="s">
        <v>1150</v>
      </c>
      <c r="BM134" s="149" t="s">
        <v>2318</v>
      </c>
    </row>
    <row r="135" spans="2:65" s="1" customFormat="1" ht="39" x14ac:dyDescent="0.3">
      <c r="B135" s="33"/>
      <c r="D135" s="156" t="s">
        <v>236</v>
      </c>
      <c r="F135" s="170" t="s">
        <v>2319</v>
      </c>
      <c r="I135" s="153"/>
      <c r="L135" s="33"/>
      <c r="M135" s="154"/>
      <c r="T135" s="57"/>
      <c r="AT135" s="18" t="s">
        <v>236</v>
      </c>
      <c r="AU135" s="18" t="s">
        <v>20</v>
      </c>
    </row>
    <row r="136" spans="2:65" s="11" customFormat="1" ht="22.9" customHeight="1" x14ac:dyDescent="0.2">
      <c r="B136" s="127"/>
      <c r="D136" s="128" t="s">
        <v>80</v>
      </c>
      <c r="E136" s="136" t="s">
        <v>1144</v>
      </c>
      <c r="F136" s="136" t="s">
        <v>1145</v>
      </c>
      <c r="I136" s="171"/>
      <c r="J136" s="137">
        <f>BK136</f>
        <v>62778.00999999998</v>
      </c>
      <c r="L136" s="127"/>
      <c r="M136" s="131"/>
      <c r="P136" s="132">
        <f>SUM(P137:P150)</f>
        <v>0</v>
      </c>
      <c r="R136" s="132">
        <f>SUM(R137:R150)</f>
        <v>0</v>
      </c>
      <c r="T136" s="133">
        <f>SUM(T137:T150)</f>
        <v>0</v>
      </c>
      <c r="AR136" s="128" t="s">
        <v>214</v>
      </c>
      <c r="AT136" s="134" t="s">
        <v>80</v>
      </c>
      <c r="AU136" s="134" t="s">
        <v>88</v>
      </c>
      <c r="AY136" s="128" t="s">
        <v>184</v>
      </c>
      <c r="BK136" s="135">
        <f>SUM(BK137:BK150)</f>
        <v>62778.00999999998</v>
      </c>
    </row>
    <row r="137" spans="2:65" s="1" customFormat="1" ht="16.5" customHeight="1" x14ac:dyDescent="0.3">
      <c r="B137" s="33"/>
      <c r="C137" s="138" t="s">
        <v>6</v>
      </c>
      <c r="D137" s="138" t="s">
        <v>186</v>
      </c>
      <c r="E137" s="139" t="s">
        <v>2320</v>
      </c>
      <c r="F137" s="140" t="s">
        <v>2321</v>
      </c>
      <c r="G137" s="141" t="s">
        <v>1149</v>
      </c>
      <c r="H137" s="142">
        <v>1</v>
      </c>
      <c r="I137" s="143">
        <v>28535.47</v>
      </c>
      <c r="J137" s="144">
        <f>ROUND(I137*H137,2)</f>
        <v>28535.47</v>
      </c>
      <c r="K137" s="140" t="s">
        <v>1</v>
      </c>
      <c r="L137" s="33"/>
      <c r="M137" s="145" t="s">
        <v>1</v>
      </c>
      <c r="N137" s="146" t="s">
        <v>47</v>
      </c>
      <c r="O137" s="147">
        <v>0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AR137" s="149" t="s">
        <v>1150</v>
      </c>
      <c r="AT137" s="149" t="s">
        <v>186</v>
      </c>
      <c r="AU137" s="149" t="s">
        <v>20</v>
      </c>
      <c r="AY137" s="18" t="s">
        <v>184</v>
      </c>
      <c r="BE137" s="150">
        <f>IF(N137="základní",J137,0)</f>
        <v>28535.47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8" t="s">
        <v>88</v>
      </c>
      <c r="BK137" s="150">
        <f>ROUND(I137*H137,2)</f>
        <v>28535.47</v>
      </c>
      <c r="BL137" s="18" t="s">
        <v>1150</v>
      </c>
      <c r="BM137" s="149" t="s">
        <v>2322</v>
      </c>
    </row>
    <row r="138" spans="2:65" s="1" customFormat="1" ht="39" x14ac:dyDescent="0.3">
      <c r="B138" s="33"/>
      <c r="D138" s="156" t="s">
        <v>236</v>
      </c>
      <c r="F138" s="170" t="s">
        <v>2323</v>
      </c>
      <c r="I138" s="153"/>
      <c r="L138" s="33"/>
      <c r="M138" s="154"/>
      <c r="T138" s="57"/>
      <c r="AT138" s="18" t="s">
        <v>236</v>
      </c>
      <c r="AU138" s="18" t="s">
        <v>20</v>
      </c>
    </row>
    <row r="139" spans="2:65" s="1" customFormat="1" ht="16.5" customHeight="1" x14ac:dyDescent="0.3">
      <c r="B139" s="33"/>
      <c r="C139" s="138" t="s">
        <v>322</v>
      </c>
      <c r="D139" s="138" t="s">
        <v>186</v>
      </c>
      <c r="E139" s="139" t="s">
        <v>2324</v>
      </c>
      <c r="F139" s="140" t="s">
        <v>2325</v>
      </c>
      <c r="G139" s="141" t="s">
        <v>1149</v>
      </c>
      <c r="H139" s="142">
        <v>1</v>
      </c>
      <c r="I139" s="143">
        <v>5707.09</v>
      </c>
      <c r="J139" s="144">
        <f>ROUND(I139*H139,2)</f>
        <v>5707.09</v>
      </c>
      <c r="K139" s="140" t="s">
        <v>1</v>
      </c>
      <c r="L139" s="33"/>
      <c r="M139" s="145" t="s">
        <v>1</v>
      </c>
      <c r="N139" s="146" t="s">
        <v>47</v>
      </c>
      <c r="O139" s="147">
        <v>0</v>
      </c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AR139" s="149" t="s">
        <v>1150</v>
      </c>
      <c r="AT139" s="149" t="s">
        <v>186</v>
      </c>
      <c r="AU139" s="149" t="s">
        <v>20</v>
      </c>
      <c r="AY139" s="18" t="s">
        <v>184</v>
      </c>
      <c r="BE139" s="150">
        <f>IF(N139="základní",J139,0)</f>
        <v>5707.09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8" t="s">
        <v>88</v>
      </c>
      <c r="BK139" s="150">
        <f>ROUND(I139*H139,2)</f>
        <v>5707.09</v>
      </c>
      <c r="BL139" s="18" t="s">
        <v>1150</v>
      </c>
      <c r="BM139" s="149" t="s">
        <v>2326</v>
      </c>
    </row>
    <row r="140" spans="2:65" s="1" customFormat="1" ht="29.25" x14ac:dyDescent="0.3">
      <c r="B140" s="33"/>
      <c r="D140" s="156" t="s">
        <v>236</v>
      </c>
      <c r="F140" s="170" t="s">
        <v>2327</v>
      </c>
      <c r="I140" s="153"/>
      <c r="L140" s="33"/>
      <c r="M140" s="154"/>
      <c r="T140" s="57"/>
      <c r="AT140" s="18" t="s">
        <v>236</v>
      </c>
      <c r="AU140" s="18" t="s">
        <v>20</v>
      </c>
    </row>
    <row r="141" spans="2:65" s="1" customFormat="1" ht="16.5" customHeight="1" x14ac:dyDescent="0.3">
      <c r="B141" s="33"/>
      <c r="C141" s="138" t="s">
        <v>328</v>
      </c>
      <c r="D141" s="138" t="s">
        <v>186</v>
      </c>
      <c r="E141" s="139" t="s">
        <v>2328</v>
      </c>
      <c r="F141" s="140" t="s">
        <v>2329</v>
      </c>
      <c r="G141" s="141" t="s">
        <v>1149</v>
      </c>
      <c r="H141" s="142">
        <v>1</v>
      </c>
      <c r="I141" s="143">
        <v>5707.09</v>
      </c>
      <c r="J141" s="144">
        <f>ROUND(I141*H141,2)</f>
        <v>5707.09</v>
      </c>
      <c r="K141" s="140" t="s">
        <v>1</v>
      </c>
      <c r="L141" s="33"/>
      <c r="M141" s="145" t="s">
        <v>1</v>
      </c>
      <c r="N141" s="146" t="s">
        <v>47</v>
      </c>
      <c r="O141" s="147">
        <v>0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1150</v>
      </c>
      <c r="AT141" s="149" t="s">
        <v>186</v>
      </c>
      <c r="AU141" s="149" t="s">
        <v>20</v>
      </c>
      <c r="AY141" s="18" t="s">
        <v>184</v>
      </c>
      <c r="BE141" s="150">
        <f>IF(N141="základní",J141,0)</f>
        <v>5707.09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8" t="s">
        <v>88</v>
      </c>
      <c r="BK141" s="150">
        <f>ROUND(I141*H141,2)</f>
        <v>5707.09</v>
      </c>
      <c r="BL141" s="18" t="s">
        <v>1150</v>
      </c>
      <c r="BM141" s="149" t="s">
        <v>2330</v>
      </c>
    </row>
    <row r="142" spans="2:65" s="1" customFormat="1" ht="29.25" x14ac:dyDescent="0.3">
      <c r="B142" s="33"/>
      <c r="D142" s="156" t="s">
        <v>236</v>
      </c>
      <c r="F142" s="170" t="s">
        <v>2331</v>
      </c>
      <c r="I142" s="153"/>
      <c r="L142" s="33"/>
      <c r="M142" s="154"/>
      <c r="T142" s="57"/>
      <c r="AT142" s="18" t="s">
        <v>236</v>
      </c>
      <c r="AU142" s="18" t="s">
        <v>20</v>
      </c>
    </row>
    <row r="143" spans="2:65" s="1" customFormat="1" ht="16.5" customHeight="1" x14ac:dyDescent="0.3">
      <c r="B143" s="33"/>
      <c r="C143" s="138" t="s">
        <v>334</v>
      </c>
      <c r="D143" s="138" t="s">
        <v>186</v>
      </c>
      <c r="E143" s="139" t="s">
        <v>2332</v>
      </c>
      <c r="F143" s="140" t="s">
        <v>2333</v>
      </c>
      <c r="G143" s="141" t="s">
        <v>1149</v>
      </c>
      <c r="H143" s="142">
        <v>1</v>
      </c>
      <c r="I143" s="143">
        <v>5707.09</v>
      </c>
      <c r="J143" s="144">
        <f>ROUND(I143*H143,2)</f>
        <v>5707.09</v>
      </c>
      <c r="K143" s="140" t="s">
        <v>1</v>
      </c>
      <c r="L143" s="33"/>
      <c r="M143" s="145" t="s">
        <v>1</v>
      </c>
      <c r="N143" s="146" t="s">
        <v>47</v>
      </c>
      <c r="O143" s="147">
        <v>0</v>
      </c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AR143" s="149" t="s">
        <v>1150</v>
      </c>
      <c r="AT143" s="149" t="s">
        <v>186</v>
      </c>
      <c r="AU143" s="149" t="s">
        <v>20</v>
      </c>
      <c r="AY143" s="18" t="s">
        <v>184</v>
      </c>
      <c r="BE143" s="150">
        <f>IF(N143="základní",J143,0)</f>
        <v>5707.09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8" t="s">
        <v>88</v>
      </c>
      <c r="BK143" s="150">
        <f>ROUND(I143*H143,2)</f>
        <v>5707.09</v>
      </c>
      <c r="BL143" s="18" t="s">
        <v>1150</v>
      </c>
      <c r="BM143" s="149" t="s">
        <v>2334</v>
      </c>
    </row>
    <row r="144" spans="2:65" s="1" customFormat="1" ht="29.25" x14ac:dyDescent="0.3">
      <c r="B144" s="33"/>
      <c r="D144" s="156" t="s">
        <v>236</v>
      </c>
      <c r="F144" s="170" t="s">
        <v>2331</v>
      </c>
      <c r="I144" s="153"/>
      <c r="L144" s="33"/>
      <c r="M144" s="154"/>
      <c r="T144" s="57"/>
      <c r="AT144" s="18" t="s">
        <v>236</v>
      </c>
      <c r="AU144" s="18" t="s">
        <v>20</v>
      </c>
    </row>
    <row r="145" spans="2:65" s="1" customFormat="1" ht="16.5" customHeight="1" x14ac:dyDescent="0.3">
      <c r="B145" s="33"/>
      <c r="C145" s="138" t="s">
        <v>340</v>
      </c>
      <c r="D145" s="138" t="s">
        <v>186</v>
      </c>
      <c r="E145" s="139" t="s">
        <v>2335</v>
      </c>
      <c r="F145" s="140" t="s">
        <v>2336</v>
      </c>
      <c r="G145" s="141" t="s">
        <v>1149</v>
      </c>
      <c r="H145" s="142">
        <v>1</v>
      </c>
      <c r="I145" s="143">
        <v>5707.09</v>
      </c>
      <c r="J145" s="144">
        <f>ROUND(I145*H145,2)</f>
        <v>5707.09</v>
      </c>
      <c r="K145" s="140" t="s">
        <v>1</v>
      </c>
      <c r="L145" s="33"/>
      <c r="M145" s="145" t="s">
        <v>1</v>
      </c>
      <c r="N145" s="146" t="s">
        <v>47</v>
      </c>
      <c r="O145" s="147">
        <v>0</v>
      </c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49" t="s">
        <v>1150</v>
      </c>
      <c r="AT145" s="149" t="s">
        <v>186</v>
      </c>
      <c r="AU145" s="149" t="s">
        <v>20</v>
      </c>
      <c r="AY145" s="18" t="s">
        <v>184</v>
      </c>
      <c r="BE145" s="150">
        <f>IF(N145="základní",J145,0)</f>
        <v>5707.09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8" t="s">
        <v>88</v>
      </c>
      <c r="BK145" s="150">
        <f>ROUND(I145*H145,2)</f>
        <v>5707.09</v>
      </c>
      <c r="BL145" s="18" t="s">
        <v>1150</v>
      </c>
      <c r="BM145" s="149" t="s">
        <v>2337</v>
      </c>
    </row>
    <row r="146" spans="2:65" s="1" customFormat="1" ht="29.25" x14ac:dyDescent="0.3">
      <c r="B146" s="33"/>
      <c r="D146" s="156" t="s">
        <v>236</v>
      </c>
      <c r="F146" s="170" t="s">
        <v>2331</v>
      </c>
      <c r="I146" s="153"/>
      <c r="L146" s="33"/>
      <c r="M146" s="154"/>
      <c r="T146" s="57"/>
      <c r="AT146" s="18" t="s">
        <v>236</v>
      </c>
      <c r="AU146" s="18" t="s">
        <v>20</v>
      </c>
    </row>
    <row r="147" spans="2:65" s="1" customFormat="1" ht="16.5" customHeight="1" x14ac:dyDescent="0.3">
      <c r="B147" s="33"/>
      <c r="C147" s="138" t="s">
        <v>346</v>
      </c>
      <c r="D147" s="138" t="s">
        <v>186</v>
      </c>
      <c r="E147" s="139" t="s">
        <v>2338</v>
      </c>
      <c r="F147" s="140" t="s">
        <v>2339</v>
      </c>
      <c r="G147" s="141" t="s">
        <v>1149</v>
      </c>
      <c r="H147" s="142">
        <v>1</v>
      </c>
      <c r="I147" s="143">
        <v>5707.09</v>
      </c>
      <c r="J147" s="144">
        <f>ROUND(I147*H147,2)</f>
        <v>5707.09</v>
      </c>
      <c r="K147" s="140" t="s">
        <v>1</v>
      </c>
      <c r="L147" s="33"/>
      <c r="M147" s="145" t="s">
        <v>1</v>
      </c>
      <c r="N147" s="146" t="s">
        <v>47</v>
      </c>
      <c r="O147" s="147">
        <v>0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AR147" s="149" t="s">
        <v>1150</v>
      </c>
      <c r="AT147" s="149" t="s">
        <v>186</v>
      </c>
      <c r="AU147" s="149" t="s">
        <v>20</v>
      </c>
      <c r="AY147" s="18" t="s">
        <v>184</v>
      </c>
      <c r="BE147" s="150">
        <f>IF(N147="základní",J147,0)</f>
        <v>5707.09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8" t="s">
        <v>88</v>
      </c>
      <c r="BK147" s="150">
        <f>ROUND(I147*H147,2)</f>
        <v>5707.09</v>
      </c>
      <c r="BL147" s="18" t="s">
        <v>1150</v>
      </c>
      <c r="BM147" s="149" t="s">
        <v>2340</v>
      </c>
    </row>
    <row r="148" spans="2:65" s="1" customFormat="1" ht="29.25" x14ac:dyDescent="0.3">
      <c r="B148" s="33"/>
      <c r="D148" s="156" t="s">
        <v>236</v>
      </c>
      <c r="F148" s="170" t="s">
        <v>2331</v>
      </c>
      <c r="I148" s="153"/>
      <c r="L148" s="33"/>
      <c r="M148" s="154"/>
      <c r="T148" s="57"/>
      <c r="AT148" s="18" t="s">
        <v>236</v>
      </c>
      <c r="AU148" s="18" t="s">
        <v>20</v>
      </c>
    </row>
    <row r="149" spans="2:65" s="1" customFormat="1" ht="21.75" customHeight="1" x14ac:dyDescent="0.3">
      <c r="B149" s="33"/>
      <c r="C149" s="138" t="s">
        <v>353</v>
      </c>
      <c r="D149" s="138" t="s">
        <v>186</v>
      </c>
      <c r="E149" s="139" t="s">
        <v>2341</v>
      </c>
      <c r="F149" s="140" t="s">
        <v>2342</v>
      </c>
      <c r="G149" s="141" t="s">
        <v>1149</v>
      </c>
      <c r="H149" s="142">
        <v>1</v>
      </c>
      <c r="I149" s="143">
        <v>5707.09</v>
      </c>
      <c r="J149" s="144">
        <f>ROUND(I149*H149,2)</f>
        <v>5707.09</v>
      </c>
      <c r="K149" s="140" t="s">
        <v>1</v>
      </c>
      <c r="L149" s="33"/>
      <c r="M149" s="145" t="s">
        <v>1</v>
      </c>
      <c r="N149" s="146" t="s">
        <v>47</v>
      </c>
      <c r="O149" s="147">
        <v>0</v>
      </c>
      <c r="P149" s="147">
        <f>O149*H149</f>
        <v>0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1150</v>
      </c>
      <c r="AT149" s="149" t="s">
        <v>186</v>
      </c>
      <c r="AU149" s="149" t="s">
        <v>20</v>
      </c>
      <c r="AY149" s="18" t="s">
        <v>184</v>
      </c>
      <c r="BE149" s="150">
        <f>IF(N149="základní",J149,0)</f>
        <v>5707.09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8" t="s">
        <v>88</v>
      </c>
      <c r="BK149" s="150">
        <f>ROUND(I149*H149,2)</f>
        <v>5707.09</v>
      </c>
      <c r="BL149" s="18" t="s">
        <v>1150</v>
      </c>
      <c r="BM149" s="149" t="s">
        <v>2343</v>
      </c>
    </row>
    <row r="150" spans="2:65" s="1" customFormat="1" ht="29.25" x14ac:dyDescent="0.3">
      <c r="B150" s="33"/>
      <c r="D150" s="156" t="s">
        <v>236</v>
      </c>
      <c r="F150" s="170" t="s">
        <v>2331</v>
      </c>
      <c r="I150" s="153"/>
      <c r="L150" s="33"/>
      <c r="M150" s="154"/>
      <c r="T150" s="57"/>
      <c r="AT150" s="18" t="s">
        <v>236</v>
      </c>
      <c r="AU150" s="18" t="s">
        <v>20</v>
      </c>
    </row>
    <row r="151" spans="2:65" s="11" customFormat="1" ht="22.9" customHeight="1" x14ac:dyDescent="0.2">
      <c r="B151" s="127"/>
      <c r="D151" s="128" t="s">
        <v>80</v>
      </c>
      <c r="E151" s="136" t="s">
        <v>2064</v>
      </c>
      <c r="F151" s="136" t="s">
        <v>2065</v>
      </c>
      <c r="I151" s="171"/>
      <c r="J151" s="137">
        <f>BK151</f>
        <v>789251.89</v>
      </c>
      <c r="L151" s="127"/>
      <c r="M151" s="131"/>
      <c r="P151" s="132">
        <f>P152</f>
        <v>0</v>
      </c>
      <c r="R151" s="132">
        <f>R152</f>
        <v>0</v>
      </c>
      <c r="T151" s="133">
        <f>T152</f>
        <v>0</v>
      </c>
      <c r="AR151" s="128" t="s">
        <v>214</v>
      </c>
      <c r="AT151" s="134" t="s">
        <v>80</v>
      </c>
      <c r="AU151" s="134" t="s">
        <v>88</v>
      </c>
      <c r="AY151" s="128" t="s">
        <v>184</v>
      </c>
      <c r="BK151" s="135">
        <f>BK152</f>
        <v>789251.89</v>
      </c>
    </row>
    <row r="152" spans="2:65" s="1" customFormat="1" ht="16.5" customHeight="1" x14ac:dyDescent="0.3">
      <c r="B152" s="33"/>
      <c r="C152" s="138" t="s">
        <v>360</v>
      </c>
      <c r="D152" s="138" t="s">
        <v>186</v>
      </c>
      <c r="E152" s="139" t="s">
        <v>2344</v>
      </c>
      <c r="F152" s="140" t="s">
        <v>2345</v>
      </c>
      <c r="G152" s="141" t="s">
        <v>2346</v>
      </c>
      <c r="H152" s="142">
        <v>1</v>
      </c>
      <c r="I152" s="209">
        <f>SUM('Rekapitulace I.+II.'!AG95:AM113)*3%</f>
        <v>789251.88989999972</v>
      </c>
      <c r="J152" s="144">
        <f>ROUND(I152*H152,2)</f>
        <v>789251.89</v>
      </c>
      <c r="K152" s="140" t="s">
        <v>1</v>
      </c>
      <c r="L152" s="33"/>
      <c r="M152" s="145" t="s">
        <v>1</v>
      </c>
      <c r="N152" s="146" t="s">
        <v>47</v>
      </c>
      <c r="O152" s="147">
        <v>0</v>
      </c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1150</v>
      </c>
      <c r="AT152" s="149" t="s">
        <v>186</v>
      </c>
      <c r="AU152" s="149" t="s">
        <v>20</v>
      </c>
      <c r="AY152" s="18" t="s">
        <v>184</v>
      </c>
      <c r="BE152" s="150">
        <f>IF(N152="základní",J152,0)</f>
        <v>789251.89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8" t="s">
        <v>88</v>
      </c>
      <c r="BK152" s="150">
        <f>ROUND(I152*H152,2)</f>
        <v>789251.89</v>
      </c>
      <c r="BL152" s="18" t="s">
        <v>1150</v>
      </c>
      <c r="BM152" s="149" t="s">
        <v>2347</v>
      </c>
    </row>
    <row r="153" spans="2:65" s="11" customFormat="1" ht="22.9" customHeight="1" x14ac:dyDescent="0.2">
      <c r="B153" s="127"/>
      <c r="D153" s="128" t="s">
        <v>80</v>
      </c>
      <c r="E153" s="136" t="s">
        <v>2348</v>
      </c>
      <c r="F153" s="136" t="s">
        <v>2349</v>
      </c>
      <c r="J153" s="137">
        <f>BK153</f>
        <v>251112.11000000002</v>
      </c>
      <c r="L153" s="127"/>
      <c r="M153" s="131"/>
      <c r="P153" s="132">
        <f>SUM(P154:P159)</f>
        <v>0</v>
      </c>
      <c r="R153" s="132">
        <f>SUM(R154:R159)</f>
        <v>0</v>
      </c>
      <c r="T153" s="133">
        <f>SUM(T154:T159)</f>
        <v>0</v>
      </c>
      <c r="AR153" s="128" t="s">
        <v>214</v>
      </c>
      <c r="AT153" s="134" t="s">
        <v>80</v>
      </c>
      <c r="AU153" s="134" t="s">
        <v>88</v>
      </c>
      <c r="AY153" s="128" t="s">
        <v>184</v>
      </c>
      <c r="BK153" s="135">
        <f>SUM(BK154:BK159)</f>
        <v>251112.11000000002</v>
      </c>
    </row>
    <row r="154" spans="2:65" s="1" customFormat="1" ht="16.5" customHeight="1" x14ac:dyDescent="0.3">
      <c r="B154" s="33"/>
      <c r="C154" s="138" t="s">
        <v>368</v>
      </c>
      <c r="D154" s="138" t="s">
        <v>186</v>
      </c>
      <c r="E154" s="139" t="s">
        <v>2350</v>
      </c>
      <c r="F154" s="140" t="s">
        <v>2351</v>
      </c>
      <c r="G154" s="141" t="s">
        <v>1149</v>
      </c>
      <c r="H154" s="142">
        <v>1</v>
      </c>
      <c r="I154" s="143">
        <v>8560.64</v>
      </c>
      <c r="J154" s="144">
        <f>ROUND(I154*H154,2)</f>
        <v>8560.64</v>
      </c>
      <c r="K154" s="140" t="s">
        <v>1</v>
      </c>
      <c r="L154" s="33"/>
      <c r="M154" s="145" t="s">
        <v>1</v>
      </c>
      <c r="N154" s="146" t="s">
        <v>47</v>
      </c>
      <c r="O154" s="147">
        <v>0</v>
      </c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49" t="s">
        <v>1150</v>
      </c>
      <c r="AT154" s="149" t="s">
        <v>186</v>
      </c>
      <c r="AU154" s="149" t="s">
        <v>20</v>
      </c>
      <c r="AY154" s="18" t="s">
        <v>184</v>
      </c>
      <c r="BE154" s="150">
        <f>IF(N154="základní",J154,0)</f>
        <v>8560.64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88</v>
      </c>
      <c r="BK154" s="150">
        <f>ROUND(I154*H154,2)</f>
        <v>8560.64</v>
      </c>
      <c r="BL154" s="18" t="s">
        <v>1150</v>
      </c>
      <c r="BM154" s="149" t="s">
        <v>2352</v>
      </c>
    </row>
    <row r="155" spans="2:65" s="1" customFormat="1" ht="58.5" x14ac:dyDescent="0.3">
      <c r="B155" s="33"/>
      <c r="D155" s="156" t="s">
        <v>236</v>
      </c>
      <c r="F155" s="170" t="s">
        <v>2353</v>
      </c>
      <c r="I155" s="153"/>
      <c r="L155" s="33"/>
      <c r="M155" s="154"/>
      <c r="T155" s="57"/>
      <c r="AT155" s="18" t="s">
        <v>236</v>
      </c>
      <c r="AU155" s="18" t="s">
        <v>20</v>
      </c>
    </row>
    <row r="156" spans="2:65" s="1" customFormat="1" ht="16.5" customHeight="1" x14ac:dyDescent="0.3">
      <c r="B156" s="33"/>
      <c r="C156" s="138" t="s">
        <v>376</v>
      </c>
      <c r="D156" s="138" t="s">
        <v>186</v>
      </c>
      <c r="E156" s="139" t="s">
        <v>2354</v>
      </c>
      <c r="F156" s="140" t="s">
        <v>2355</v>
      </c>
      <c r="G156" s="141" t="s">
        <v>1149</v>
      </c>
      <c r="H156" s="142">
        <v>1</v>
      </c>
      <c r="I156" s="143">
        <v>214016</v>
      </c>
      <c r="J156" s="144">
        <f>ROUND(I156*H156,2)</f>
        <v>214016</v>
      </c>
      <c r="K156" s="140" t="s">
        <v>1</v>
      </c>
      <c r="L156" s="33"/>
      <c r="M156" s="145" t="s">
        <v>1</v>
      </c>
      <c r="N156" s="146" t="s">
        <v>47</v>
      </c>
      <c r="O156" s="147">
        <v>0</v>
      </c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49" t="s">
        <v>1150</v>
      </c>
      <c r="AT156" s="149" t="s">
        <v>186</v>
      </c>
      <c r="AU156" s="149" t="s">
        <v>20</v>
      </c>
      <c r="AY156" s="18" t="s">
        <v>184</v>
      </c>
      <c r="BE156" s="150">
        <f>IF(N156="základní",J156,0)</f>
        <v>214016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8" t="s">
        <v>88</v>
      </c>
      <c r="BK156" s="150">
        <f>ROUND(I156*H156,2)</f>
        <v>214016</v>
      </c>
      <c r="BL156" s="18" t="s">
        <v>1150</v>
      </c>
      <c r="BM156" s="149" t="s">
        <v>2356</v>
      </c>
    </row>
    <row r="157" spans="2:65" s="1" customFormat="1" ht="48.75" x14ac:dyDescent="0.3">
      <c r="B157" s="33"/>
      <c r="D157" s="156" t="s">
        <v>236</v>
      </c>
      <c r="F157" s="170" t="s">
        <v>2357</v>
      </c>
      <c r="I157" s="153"/>
      <c r="L157" s="33"/>
      <c r="M157" s="154"/>
      <c r="T157" s="57"/>
      <c r="AT157" s="18" t="s">
        <v>236</v>
      </c>
      <c r="AU157" s="18" t="s">
        <v>20</v>
      </c>
    </row>
    <row r="158" spans="2:65" s="1" customFormat="1" ht="16.5" customHeight="1" x14ac:dyDescent="0.3">
      <c r="B158" s="33"/>
      <c r="C158" s="138" t="s">
        <v>385</v>
      </c>
      <c r="D158" s="138" t="s">
        <v>186</v>
      </c>
      <c r="E158" s="139" t="s">
        <v>2358</v>
      </c>
      <c r="F158" s="140" t="s">
        <v>2359</v>
      </c>
      <c r="G158" s="141" t="s">
        <v>1149</v>
      </c>
      <c r="H158" s="142">
        <v>1</v>
      </c>
      <c r="I158" s="143">
        <v>28535.47</v>
      </c>
      <c r="J158" s="144">
        <f>ROUND(I158*H158,2)</f>
        <v>28535.47</v>
      </c>
      <c r="K158" s="140" t="s">
        <v>1</v>
      </c>
      <c r="L158" s="33"/>
      <c r="M158" s="145" t="s">
        <v>1</v>
      </c>
      <c r="N158" s="146" t="s">
        <v>47</v>
      </c>
      <c r="O158" s="147">
        <v>0</v>
      </c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49" t="s">
        <v>1150</v>
      </c>
      <c r="AT158" s="149" t="s">
        <v>186</v>
      </c>
      <c r="AU158" s="149" t="s">
        <v>20</v>
      </c>
      <c r="AY158" s="18" t="s">
        <v>184</v>
      </c>
      <c r="BE158" s="150">
        <f>IF(N158="základní",J158,0)</f>
        <v>28535.47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8" t="s">
        <v>88</v>
      </c>
      <c r="BK158" s="150">
        <f>ROUND(I158*H158,2)</f>
        <v>28535.47</v>
      </c>
      <c r="BL158" s="18" t="s">
        <v>1150</v>
      </c>
      <c r="BM158" s="149" t="s">
        <v>2360</v>
      </c>
    </row>
    <row r="159" spans="2:65" s="1" customFormat="1" ht="29.25" x14ac:dyDescent="0.3">
      <c r="B159" s="33"/>
      <c r="D159" s="156" t="s">
        <v>236</v>
      </c>
      <c r="F159" s="170" t="s">
        <v>2361</v>
      </c>
      <c r="I159" s="153"/>
      <c r="L159" s="33"/>
      <c r="M159" s="154"/>
      <c r="T159" s="57"/>
      <c r="AT159" s="18" t="s">
        <v>236</v>
      </c>
      <c r="AU159" s="18" t="s">
        <v>20</v>
      </c>
    </row>
    <row r="160" spans="2:65" s="11" customFormat="1" ht="22.9" customHeight="1" x14ac:dyDescent="0.2">
      <c r="B160" s="127"/>
      <c r="D160" s="128" t="s">
        <v>80</v>
      </c>
      <c r="E160" s="136" t="s">
        <v>2362</v>
      </c>
      <c r="F160" s="136" t="s">
        <v>2363</v>
      </c>
      <c r="I160" s="171"/>
      <c r="J160" s="137">
        <f>BK160</f>
        <v>2463266.29</v>
      </c>
      <c r="L160" s="127"/>
      <c r="M160" s="131"/>
      <c r="P160" s="132">
        <f>SUM(P161:P169)</f>
        <v>0</v>
      </c>
      <c r="R160" s="132">
        <f>SUM(R161:R169)</f>
        <v>0</v>
      </c>
      <c r="T160" s="133">
        <f>SUM(T161:T169)</f>
        <v>0</v>
      </c>
      <c r="AR160" s="128" t="s">
        <v>214</v>
      </c>
      <c r="AT160" s="134" t="s">
        <v>80</v>
      </c>
      <c r="AU160" s="134" t="s">
        <v>88</v>
      </c>
      <c r="AY160" s="128" t="s">
        <v>184</v>
      </c>
      <c r="BK160" s="135">
        <f>SUM(BK161:BK169)</f>
        <v>2463266.29</v>
      </c>
    </row>
    <row r="161" spans="2:65" s="1" customFormat="1" ht="16.5" customHeight="1" x14ac:dyDescent="0.3">
      <c r="B161" s="33"/>
      <c r="C161" s="138" t="s">
        <v>392</v>
      </c>
      <c r="D161" s="138" t="s">
        <v>186</v>
      </c>
      <c r="E161" s="139" t="s">
        <v>2364</v>
      </c>
      <c r="F161" s="140" t="s">
        <v>2365</v>
      </c>
      <c r="G161" s="141" t="s">
        <v>1149</v>
      </c>
      <c r="H161" s="142">
        <v>1</v>
      </c>
      <c r="I161" s="143">
        <v>4280.32</v>
      </c>
      <c r="J161" s="144">
        <f>ROUND(I161*H161,2)</f>
        <v>4280.32</v>
      </c>
      <c r="K161" s="140" t="s">
        <v>1</v>
      </c>
      <c r="L161" s="33"/>
      <c r="M161" s="145" t="s">
        <v>1</v>
      </c>
      <c r="N161" s="146" t="s">
        <v>47</v>
      </c>
      <c r="O161" s="147">
        <v>0</v>
      </c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49" t="s">
        <v>1150</v>
      </c>
      <c r="AT161" s="149" t="s">
        <v>186</v>
      </c>
      <c r="AU161" s="149" t="s">
        <v>20</v>
      </c>
      <c r="AY161" s="18" t="s">
        <v>184</v>
      </c>
      <c r="BE161" s="150">
        <f>IF(N161="základní",J161,0)</f>
        <v>4280.32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8" t="s">
        <v>88</v>
      </c>
      <c r="BK161" s="150">
        <f>ROUND(I161*H161,2)</f>
        <v>4280.32</v>
      </c>
      <c r="BL161" s="18" t="s">
        <v>1150</v>
      </c>
      <c r="BM161" s="149" t="s">
        <v>2366</v>
      </c>
    </row>
    <row r="162" spans="2:65" s="1" customFormat="1" ht="29.25" x14ac:dyDescent="0.3">
      <c r="B162" s="33"/>
      <c r="D162" s="156" t="s">
        <v>236</v>
      </c>
      <c r="F162" s="170" t="s">
        <v>2367</v>
      </c>
      <c r="I162" s="153"/>
      <c r="L162" s="33"/>
      <c r="M162" s="154"/>
      <c r="T162" s="57"/>
      <c r="AT162" s="18" t="s">
        <v>236</v>
      </c>
      <c r="AU162" s="18" t="s">
        <v>20</v>
      </c>
    </row>
    <row r="163" spans="2:65" s="1" customFormat="1" ht="16.5" customHeight="1" x14ac:dyDescent="0.3">
      <c r="B163" s="33"/>
      <c r="C163" s="138" t="s">
        <v>621</v>
      </c>
      <c r="D163" s="138" t="s">
        <v>186</v>
      </c>
      <c r="E163" s="139" t="s">
        <v>2368</v>
      </c>
      <c r="F163" s="140" t="s">
        <v>2369</v>
      </c>
      <c r="G163" s="141" t="s">
        <v>1149</v>
      </c>
      <c r="H163" s="142">
        <v>1</v>
      </c>
      <c r="I163" s="143">
        <v>14267.73</v>
      </c>
      <c r="J163" s="144">
        <f>ROUND(I163*H163,2)</f>
        <v>14267.73</v>
      </c>
      <c r="K163" s="140" t="s">
        <v>1</v>
      </c>
      <c r="L163" s="33"/>
      <c r="M163" s="145" t="s">
        <v>1</v>
      </c>
      <c r="N163" s="146" t="s">
        <v>47</v>
      </c>
      <c r="O163" s="147">
        <v>0</v>
      </c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AR163" s="149" t="s">
        <v>1150</v>
      </c>
      <c r="AT163" s="149" t="s">
        <v>186</v>
      </c>
      <c r="AU163" s="149" t="s">
        <v>20</v>
      </c>
      <c r="AY163" s="18" t="s">
        <v>184</v>
      </c>
      <c r="BE163" s="150">
        <f>IF(N163="základní",J163,0)</f>
        <v>14267.73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8" t="s">
        <v>88</v>
      </c>
      <c r="BK163" s="150">
        <f>ROUND(I163*H163,2)</f>
        <v>14267.73</v>
      </c>
      <c r="BL163" s="18" t="s">
        <v>1150</v>
      </c>
      <c r="BM163" s="149" t="s">
        <v>2370</v>
      </c>
    </row>
    <row r="164" spans="2:65" s="1" customFormat="1" ht="16.5" customHeight="1" x14ac:dyDescent="0.3">
      <c r="B164" s="33"/>
      <c r="C164" s="138" t="s">
        <v>630</v>
      </c>
      <c r="D164" s="138" t="s">
        <v>186</v>
      </c>
      <c r="E164" s="139" t="s">
        <v>2371</v>
      </c>
      <c r="F164" s="140" t="s">
        <v>2372</v>
      </c>
      <c r="G164" s="141" t="s">
        <v>1149</v>
      </c>
      <c r="H164" s="142">
        <v>1</v>
      </c>
      <c r="I164" s="143">
        <v>5707.09</v>
      </c>
      <c r="J164" s="144">
        <f>ROUND(I164*H164,2)</f>
        <v>5707.09</v>
      </c>
      <c r="K164" s="140" t="s">
        <v>1</v>
      </c>
      <c r="L164" s="33"/>
      <c r="M164" s="145" t="s">
        <v>1</v>
      </c>
      <c r="N164" s="146" t="s">
        <v>47</v>
      </c>
      <c r="O164" s="147">
        <v>0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49" t="s">
        <v>1150</v>
      </c>
      <c r="AT164" s="149" t="s">
        <v>186</v>
      </c>
      <c r="AU164" s="149" t="s">
        <v>20</v>
      </c>
      <c r="AY164" s="18" t="s">
        <v>184</v>
      </c>
      <c r="BE164" s="150">
        <f>IF(N164="základní",J164,0)</f>
        <v>5707.09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8" t="s">
        <v>88</v>
      </c>
      <c r="BK164" s="150">
        <f>ROUND(I164*H164,2)</f>
        <v>5707.09</v>
      </c>
      <c r="BL164" s="18" t="s">
        <v>1150</v>
      </c>
      <c r="BM164" s="149" t="s">
        <v>2373</v>
      </c>
    </row>
    <row r="165" spans="2:65" s="1" customFormat="1" ht="29.25" x14ac:dyDescent="0.3">
      <c r="B165" s="33"/>
      <c r="D165" s="156" t="s">
        <v>236</v>
      </c>
      <c r="F165" s="170" t="s">
        <v>2374</v>
      </c>
      <c r="I165" s="153"/>
      <c r="L165" s="33"/>
      <c r="M165" s="154"/>
      <c r="T165" s="57"/>
      <c r="AT165" s="18" t="s">
        <v>236</v>
      </c>
      <c r="AU165" s="18" t="s">
        <v>20</v>
      </c>
    </row>
    <row r="166" spans="2:65" s="1" customFormat="1" ht="16.5" customHeight="1" x14ac:dyDescent="0.3">
      <c r="B166" s="33"/>
      <c r="C166" s="138" t="s">
        <v>635</v>
      </c>
      <c r="D166" s="138" t="s">
        <v>186</v>
      </c>
      <c r="E166" s="139" t="s">
        <v>2375</v>
      </c>
      <c r="F166" s="140" t="s">
        <v>2376</v>
      </c>
      <c r="G166" s="141" t="s">
        <v>1149</v>
      </c>
      <c r="H166" s="142">
        <v>1</v>
      </c>
      <c r="I166" s="143">
        <v>24255.15</v>
      </c>
      <c r="J166" s="144">
        <f>ROUND(I166*H166,2)</f>
        <v>24255.15</v>
      </c>
      <c r="K166" s="140" t="s">
        <v>1</v>
      </c>
      <c r="L166" s="33"/>
      <c r="M166" s="145" t="s">
        <v>1</v>
      </c>
      <c r="N166" s="146" t="s">
        <v>47</v>
      </c>
      <c r="O166" s="147">
        <v>0</v>
      </c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49" t="s">
        <v>1150</v>
      </c>
      <c r="AT166" s="149" t="s">
        <v>186</v>
      </c>
      <c r="AU166" s="149" t="s">
        <v>20</v>
      </c>
      <c r="AY166" s="18" t="s">
        <v>184</v>
      </c>
      <c r="BE166" s="150">
        <f>IF(N166="základní",J166,0)</f>
        <v>24255.15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8" t="s">
        <v>88</v>
      </c>
      <c r="BK166" s="150">
        <f>ROUND(I166*H166,2)</f>
        <v>24255.15</v>
      </c>
      <c r="BL166" s="18" t="s">
        <v>1150</v>
      </c>
      <c r="BM166" s="149" t="s">
        <v>2377</v>
      </c>
    </row>
    <row r="167" spans="2:65" s="1" customFormat="1" ht="29.25" x14ac:dyDescent="0.3">
      <c r="B167" s="33"/>
      <c r="D167" s="156" t="s">
        <v>236</v>
      </c>
      <c r="F167" s="170" t="s">
        <v>2378</v>
      </c>
      <c r="I167" s="153"/>
      <c r="L167" s="33"/>
      <c r="M167" s="189"/>
      <c r="N167" s="190"/>
      <c r="O167" s="190"/>
      <c r="P167" s="190"/>
      <c r="Q167" s="190"/>
      <c r="R167" s="190"/>
      <c r="S167" s="190"/>
      <c r="T167" s="191"/>
      <c r="AT167" s="18" t="s">
        <v>236</v>
      </c>
      <c r="AU167" s="18" t="s">
        <v>20</v>
      </c>
    </row>
    <row r="168" spans="2:65" s="1" customFormat="1" ht="30" customHeight="1" x14ac:dyDescent="0.3">
      <c r="B168" s="33"/>
      <c r="C168" s="138">
        <v>36</v>
      </c>
      <c r="D168" s="138" t="s">
        <v>2379</v>
      </c>
      <c r="E168" s="139"/>
      <c r="F168" s="140" t="s">
        <v>2380</v>
      </c>
      <c r="G168" s="141" t="s">
        <v>1149</v>
      </c>
      <c r="H168" s="142">
        <v>1</v>
      </c>
      <c r="I168" s="144">
        <v>2414756</v>
      </c>
      <c r="J168" s="144">
        <f>ROUND(I168*H168,2)</f>
        <v>2414756</v>
      </c>
      <c r="K168" s="140" t="s">
        <v>1</v>
      </c>
      <c r="L168" s="33"/>
      <c r="M168" s="145" t="s">
        <v>1</v>
      </c>
      <c r="N168" s="146" t="s">
        <v>47</v>
      </c>
      <c r="O168" s="147">
        <v>0</v>
      </c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AR168" s="149" t="s">
        <v>1150</v>
      </c>
      <c r="AT168" s="149" t="s">
        <v>186</v>
      </c>
      <c r="AU168" s="149" t="s">
        <v>20</v>
      </c>
      <c r="AY168" s="18" t="s">
        <v>184</v>
      </c>
      <c r="BE168" s="150">
        <f>IF(N168="základní",J168,0)</f>
        <v>2414756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8" t="s">
        <v>88</v>
      </c>
      <c r="BK168" s="150">
        <f>ROUND(I168*H168,2)</f>
        <v>2414756</v>
      </c>
      <c r="BL168" s="18" t="s">
        <v>1150</v>
      </c>
      <c r="BM168" s="149" t="s">
        <v>2377</v>
      </c>
    </row>
    <row r="169" spans="2:65" s="1" customFormat="1" x14ac:dyDescent="0.3">
      <c r="B169" s="33"/>
      <c r="D169" s="156"/>
      <c r="F169" s="170"/>
      <c r="L169" s="33"/>
      <c r="M169" s="189"/>
      <c r="N169" s="190"/>
      <c r="O169" s="190"/>
      <c r="P169" s="190"/>
      <c r="Q169" s="190"/>
      <c r="R169" s="190"/>
      <c r="S169" s="190"/>
      <c r="T169" s="191"/>
      <c r="AT169" s="18" t="s">
        <v>236</v>
      </c>
      <c r="AU169" s="18" t="s">
        <v>20</v>
      </c>
    </row>
    <row r="170" spans="2:65" s="1" customFormat="1" ht="6.95" customHeight="1" x14ac:dyDescent="0.3"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33"/>
    </row>
  </sheetData>
  <sheetProtection sheet="1" objects="1" scenarios="1"/>
  <autoFilter ref="C125:K210" xr:uid="{E203F7B9-7AFC-4821-B12F-5D8DF4ABE069}"/>
  <mergeCells count="8">
    <mergeCell ref="E50:H50"/>
    <mergeCell ref="E79:H79"/>
    <mergeCell ref="E81:H81"/>
    <mergeCell ref="L2:V2"/>
    <mergeCell ref="E7:H7"/>
    <mergeCell ref="E9:H9"/>
    <mergeCell ref="E27:H27"/>
    <mergeCell ref="E48:H48"/>
  </mergeCells>
  <hyperlinks>
    <hyperlink ref="F192" r:id="rId1" display="https://podminky.urs.cz/item/CS_URS_2024_02/052002000" xr:uid="{5694E977-DFED-42AD-8425-AE68AFFF9F35}"/>
    <hyperlink ref="F202" r:id="rId2" display="https://podminky.urs.cz/item/CS_URS_2023_01/091504000" xr:uid="{32696C94-8A11-4BEC-B116-608420CF9FC6}"/>
    <hyperlink ref="F206" r:id="rId3" display="https://podminky.urs.cz/item/CS_URS_2023_01/092203000" xr:uid="{DA7687D0-1093-4088-87DD-5A2B4CD311C2}"/>
    <hyperlink ref="F209" r:id="rId4" display="https://podminky.urs.cz/item/CS_URS_2023_01/093103000" xr:uid="{EFEB7620-6632-444C-B087-4DEA5B481A9A}"/>
  </hyperlinks>
  <pageMargins left="0.2361111044883728" right="0.2361111044883728" top="0.74791663885116577" bottom="0.74791663885116577" header="0.31527778506278992" footer="0.31527778506278992"/>
  <pageSetup paperSize="9" scale="86" fitToHeight="5" orientation="landscape" errors="blank" r:id="rId5"/>
  <headerFooter>
    <oddFooter>&amp;CStrana &amp;P z &amp;N</oddFooter>
  </headerFooter>
  <rowBreaks count="1" manualBreakCount="1">
    <brk id="137" max="16383" man="1"/>
  </rowBreaks>
  <colBreaks count="1" manualBreakCount="1">
    <brk id="12" max="1048575" man="1"/>
  </colBreaks>
  <drawing r:id="rId6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63937-BFD6-41F4-9A22-DDC1577A98BF}">
  <dimension ref="A1:K218"/>
  <sheetViews>
    <sheetView zoomScaleNormal="100" workbookViewId="0">
      <selection activeCell="D31" sqref="D31:J31"/>
    </sheetView>
  </sheetViews>
  <sheetFormatPr defaultRowHeight="13.5" x14ac:dyDescent="0.3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ht="37.5" customHeight="1" x14ac:dyDescent="0.3"/>
    <row r="2" spans="2:11" ht="7.5" customHeight="1" x14ac:dyDescent="0.3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6" customFormat="1" ht="45" customHeight="1" x14ac:dyDescent="0.3">
      <c r="B3" s="214"/>
      <c r="C3" s="330" t="s">
        <v>2381</v>
      </c>
      <c r="D3" s="330"/>
      <c r="E3" s="330"/>
      <c r="F3" s="330"/>
      <c r="G3" s="330"/>
      <c r="H3" s="330"/>
      <c r="I3" s="330"/>
      <c r="J3" s="330"/>
      <c r="K3" s="215"/>
    </row>
    <row r="4" spans="2:11" ht="25.5" customHeight="1" x14ac:dyDescent="0.3">
      <c r="B4" s="216"/>
      <c r="C4" s="335" t="s">
        <v>2382</v>
      </c>
      <c r="D4" s="335"/>
      <c r="E4" s="335"/>
      <c r="F4" s="335"/>
      <c r="G4" s="335"/>
      <c r="H4" s="335"/>
      <c r="I4" s="335"/>
      <c r="J4" s="335"/>
      <c r="K4" s="217"/>
    </row>
    <row r="5" spans="2:11" ht="5.25" customHeight="1" x14ac:dyDescent="0.3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ht="15" customHeight="1" x14ac:dyDescent="0.3">
      <c r="B6" s="216"/>
      <c r="C6" s="334" t="s">
        <v>2383</v>
      </c>
      <c r="D6" s="334"/>
      <c r="E6" s="334"/>
      <c r="F6" s="334"/>
      <c r="G6" s="334"/>
      <c r="H6" s="334"/>
      <c r="I6" s="334"/>
      <c r="J6" s="334"/>
      <c r="K6" s="217"/>
    </row>
    <row r="7" spans="2:11" ht="15" customHeight="1" x14ac:dyDescent="0.3">
      <c r="B7" s="220"/>
      <c r="C7" s="334" t="s">
        <v>2384</v>
      </c>
      <c r="D7" s="334"/>
      <c r="E7" s="334"/>
      <c r="F7" s="334"/>
      <c r="G7" s="334"/>
      <c r="H7" s="334"/>
      <c r="I7" s="334"/>
      <c r="J7" s="334"/>
      <c r="K7" s="217"/>
    </row>
    <row r="8" spans="2:11" ht="12.75" customHeight="1" x14ac:dyDescent="0.3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ht="15" customHeight="1" x14ac:dyDescent="0.3">
      <c r="B9" s="220"/>
      <c r="C9" s="334" t="s">
        <v>2385</v>
      </c>
      <c r="D9" s="334"/>
      <c r="E9" s="334"/>
      <c r="F9" s="334"/>
      <c r="G9" s="334"/>
      <c r="H9" s="334"/>
      <c r="I9" s="334"/>
      <c r="J9" s="334"/>
      <c r="K9" s="217"/>
    </row>
    <row r="10" spans="2:11" ht="15" customHeight="1" x14ac:dyDescent="0.3">
      <c r="B10" s="220"/>
      <c r="C10" s="219"/>
      <c r="D10" s="334" t="s">
        <v>2386</v>
      </c>
      <c r="E10" s="334"/>
      <c r="F10" s="334"/>
      <c r="G10" s="334"/>
      <c r="H10" s="334"/>
      <c r="I10" s="334"/>
      <c r="J10" s="334"/>
      <c r="K10" s="217"/>
    </row>
    <row r="11" spans="2:11" ht="15" customHeight="1" x14ac:dyDescent="0.3">
      <c r="B11" s="220"/>
      <c r="C11" s="221"/>
      <c r="D11" s="334" t="s">
        <v>2387</v>
      </c>
      <c r="E11" s="334"/>
      <c r="F11" s="334"/>
      <c r="G11" s="334"/>
      <c r="H11" s="334"/>
      <c r="I11" s="334"/>
      <c r="J11" s="334"/>
      <c r="K11" s="217"/>
    </row>
    <row r="12" spans="2:11" ht="15" customHeight="1" x14ac:dyDescent="0.3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ht="15" customHeight="1" x14ac:dyDescent="0.3">
      <c r="B13" s="220"/>
      <c r="C13" s="221"/>
      <c r="D13" s="222" t="s">
        <v>2388</v>
      </c>
      <c r="E13" s="219"/>
      <c r="F13" s="219"/>
      <c r="G13" s="219"/>
      <c r="H13" s="219"/>
      <c r="I13" s="219"/>
      <c r="J13" s="219"/>
      <c r="K13" s="217"/>
    </row>
    <row r="14" spans="2:11" ht="12.75" customHeight="1" x14ac:dyDescent="0.3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ht="15" customHeight="1" x14ac:dyDescent="0.3">
      <c r="B15" s="220"/>
      <c r="C15" s="221"/>
      <c r="D15" s="334" t="s">
        <v>2389</v>
      </c>
      <c r="E15" s="334"/>
      <c r="F15" s="334"/>
      <c r="G15" s="334"/>
      <c r="H15" s="334"/>
      <c r="I15" s="334"/>
      <c r="J15" s="334"/>
      <c r="K15" s="217"/>
    </row>
    <row r="16" spans="2:11" ht="15" customHeight="1" x14ac:dyDescent="0.3">
      <c r="B16" s="220"/>
      <c r="C16" s="221"/>
      <c r="D16" s="334" t="s">
        <v>2390</v>
      </c>
      <c r="E16" s="334"/>
      <c r="F16" s="334"/>
      <c r="G16" s="334"/>
      <c r="H16" s="334"/>
      <c r="I16" s="334"/>
      <c r="J16" s="334"/>
      <c r="K16" s="217"/>
    </row>
    <row r="17" spans="2:11" ht="15" customHeight="1" x14ac:dyDescent="0.3">
      <c r="B17" s="220"/>
      <c r="C17" s="221"/>
      <c r="D17" s="334" t="s">
        <v>2391</v>
      </c>
      <c r="E17" s="334"/>
      <c r="F17" s="334"/>
      <c r="G17" s="334"/>
      <c r="H17" s="334"/>
      <c r="I17" s="334"/>
      <c r="J17" s="334"/>
      <c r="K17" s="217"/>
    </row>
    <row r="18" spans="2:11" ht="15" customHeight="1" x14ac:dyDescent="0.3">
      <c r="B18" s="220"/>
      <c r="C18" s="221"/>
      <c r="D18" s="221"/>
      <c r="E18" s="223" t="s">
        <v>87</v>
      </c>
      <c r="F18" s="334" t="s">
        <v>2392</v>
      </c>
      <c r="G18" s="334"/>
      <c r="H18" s="334"/>
      <c r="I18" s="334"/>
      <c r="J18" s="334"/>
      <c r="K18" s="217"/>
    </row>
    <row r="19" spans="2:11" ht="15" customHeight="1" x14ac:dyDescent="0.3">
      <c r="B19" s="220"/>
      <c r="C19" s="221"/>
      <c r="D19" s="221"/>
      <c r="E19" s="223" t="s">
        <v>2393</v>
      </c>
      <c r="F19" s="334" t="s">
        <v>2394</v>
      </c>
      <c r="G19" s="334"/>
      <c r="H19" s="334"/>
      <c r="I19" s="334"/>
      <c r="J19" s="334"/>
      <c r="K19" s="217"/>
    </row>
    <row r="20" spans="2:11" ht="15" customHeight="1" x14ac:dyDescent="0.3">
      <c r="B20" s="220"/>
      <c r="C20" s="221"/>
      <c r="D20" s="221"/>
      <c r="E20" s="223" t="s">
        <v>2395</v>
      </c>
      <c r="F20" s="334" t="s">
        <v>2396</v>
      </c>
      <c r="G20" s="334"/>
      <c r="H20" s="334"/>
      <c r="I20" s="334"/>
      <c r="J20" s="334"/>
      <c r="K20" s="217"/>
    </row>
    <row r="21" spans="2:11" ht="15" customHeight="1" x14ac:dyDescent="0.3">
      <c r="B21" s="220"/>
      <c r="C21" s="221"/>
      <c r="D21" s="221"/>
      <c r="E21" s="223" t="s">
        <v>147</v>
      </c>
      <c r="F21" s="334" t="s">
        <v>2397</v>
      </c>
      <c r="G21" s="334"/>
      <c r="H21" s="334"/>
      <c r="I21" s="334"/>
      <c r="J21" s="334"/>
      <c r="K21" s="217"/>
    </row>
    <row r="22" spans="2:11" ht="15" customHeight="1" x14ac:dyDescent="0.3">
      <c r="B22" s="220"/>
      <c r="C22" s="221"/>
      <c r="D22" s="221"/>
      <c r="E22" s="223" t="s">
        <v>2398</v>
      </c>
      <c r="F22" s="334" t="s">
        <v>2399</v>
      </c>
      <c r="G22" s="334"/>
      <c r="H22" s="334"/>
      <c r="I22" s="334"/>
      <c r="J22" s="334"/>
      <c r="K22" s="217"/>
    </row>
    <row r="23" spans="2:11" ht="15" customHeight="1" x14ac:dyDescent="0.3">
      <c r="B23" s="220"/>
      <c r="C23" s="221"/>
      <c r="D23" s="221"/>
      <c r="E23" s="223" t="s">
        <v>2400</v>
      </c>
      <c r="F23" s="334" t="s">
        <v>2401</v>
      </c>
      <c r="G23" s="334"/>
      <c r="H23" s="334"/>
      <c r="I23" s="334"/>
      <c r="J23" s="334"/>
      <c r="K23" s="217"/>
    </row>
    <row r="24" spans="2:11" ht="12.75" customHeight="1" x14ac:dyDescent="0.3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ht="15" customHeight="1" x14ac:dyDescent="0.3">
      <c r="B25" s="220"/>
      <c r="C25" s="334" t="s">
        <v>2402</v>
      </c>
      <c r="D25" s="334"/>
      <c r="E25" s="334"/>
      <c r="F25" s="334"/>
      <c r="G25" s="334"/>
      <c r="H25" s="334"/>
      <c r="I25" s="334"/>
      <c r="J25" s="334"/>
      <c r="K25" s="217"/>
    </row>
    <row r="26" spans="2:11" ht="15" customHeight="1" x14ac:dyDescent="0.3">
      <c r="B26" s="220"/>
      <c r="C26" s="334" t="s">
        <v>2403</v>
      </c>
      <c r="D26" s="334"/>
      <c r="E26" s="334"/>
      <c r="F26" s="334"/>
      <c r="G26" s="334"/>
      <c r="H26" s="334"/>
      <c r="I26" s="334"/>
      <c r="J26" s="334"/>
      <c r="K26" s="217"/>
    </row>
    <row r="27" spans="2:11" ht="15" customHeight="1" x14ac:dyDescent="0.3">
      <c r="B27" s="220"/>
      <c r="C27" s="219"/>
      <c r="D27" s="334" t="s">
        <v>2404</v>
      </c>
      <c r="E27" s="334"/>
      <c r="F27" s="334"/>
      <c r="G27" s="334"/>
      <c r="H27" s="334"/>
      <c r="I27" s="334"/>
      <c r="J27" s="334"/>
      <c r="K27" s="217"/>
    </row>
    <row r="28" spans="2:11" ht="15" customHeight="1" x14ac:dyDescent="0.3">
      <c r="B28" s="220"/>
      <c r="C28" s="221"/>
      <c r="D28" s="334" t="s">
        <v>2405</v>
      </c>
      <c r="E28" s="334"/>
      <c r="F28" s="334"/>
      <c r="G28" s="334"/>
      <c r="H28" s="334"/>
      <c r="I28" s="334"/>
      <c r="J28" s="334"/>
      <c r="K28" s="217"/>
    </row>
    <row r="29" spans="2:11" ht="12.75" customHeight="1" x14ac:dyDescent="0.3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ht="15" customHeight="1" x14ac:dyDescent="0.3">
      <c r="B30" s="220"/>
      <c r="C30" s="221"/>
      <c r="D30" s="334" t="s">
        <v>2406</v>
      </c>
      <c r="E30" s="334"/>
      <c r="F30" s="334"/>
      <c r="G30" s="334"/>
      <c r="H30" s="334"/>
      <c r="I30" s="334"/>
      <c r="J30" s="334"/>
      <c r="K30" s="217"/>
    </row>
    <row r="31" spans="2:11" ht="15" customHeight="1" x14ac:dyDescent="0.3">
      <c r="B31" s="220"/>
      <c r="C31" s="221"/>
      <c r="D31" s="334" t="s">
        <v>2407</v>
      </c>
      <c r="E31" s="334"/>
      <c r="F31" s="334"/>
      <c r="G31" s="334"/>
      <c r="H31" s="334"/>
      <c r="I31" s="334"/>
      <c r="J31" s="334"/>
      <c r="K31" s="217"/>
    </row>
    <row r="32" spans="2:11" ht="12.75" customHeight="1" x14ac:dyDescent="0.3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ht="15" customHeight="1" x14ac:dyDescent="0.3">
      <c r="B33" s="220"/>
      <c r="C33" s="221"/>
      <c r="D33" s="334" t="s">
        <v>2408</v>
      </c>
      <c r="E33" s="334"/>
      <c r="F33" s="334"/>
      <c r="G33" s="334"/>
      <c r="H33" s="334"/>
      <c r="I33" s="334"/>
      <c r="J33" s="334"/>
      <c r="K33" s="217"/>
    </row>
    <row r="34" spans="2:11" ht="15" customHeight="1" x14ac:dyDescent="0.3">
      <c r="B34" s="220"/>
      <c r="C34" s="221"/>
      <c r="D34" s="334" t="s">
        <v>2409</v>
      </c>
      <c r="E34" s="334"/>
      <c r="F34" s="334"/>
      <c r="G34" s="334"/>
      <c r="H34" s="334"/>
      <c r="I34" s="334"/>
      <c r="J34" s="334"/>
      <c r="K34" s="217"/>
    </row>
    <row r="35" spans="2:11" ht="15" customHeight="1" x14ac:dyDescent="0.3">
      <c r="B35" s="220"/>
      <c r="C35" s="221"/>
      <c r="D35" s="334" t="s">
        <v>2410</v>
      </c>
      <c r="E35" s="334"/>
      <c r="F35" s="334"/>
      <c r="G35" s="334"/>
      <c r="H35" s="334"/>
      <c r="I35" s="334"/>
      <c r="J35" s="334"/>
      <c r="K35" s="217"/>
    </row>
    <row r="36" spans="2:11" ht="15" customHeight="1" x14ac:dyDescent="0.3">
      <c r="B36" s="220"/>
      <c r="C36" s="221"/>
      <c r="D36" s="219"/>
      <c r="E36" s="222" t="s">
        <v>169</v>
      </c>
      <c r="F36" s="219"/>
      <c r="G36" s="334" t="s">
        <v>2411</v>
      </c>
      <c r="H36" s="334"/>
      <c r="I36" s="334"/>
      <c r="J36" s="334"/>
      <c r="K36" s="217"/>
    </row>
    <row r="37" spans="2:11" ht="30.75" customHeight="1" x14ac:dyDescent="0.3">
      <c r="B37" s="220"/>
      <c r="C37" s="221"/>
      <c r="D37" s="219"/>
      <c r="E37" s="222" t="s">
        <v>2412</v>
      </c>
      <c r="F37" s="219"/>
      <c r="G37" s="334" t="s">
        <v>2413</v>
      </c>
      <c r="H37" s="334"/>
      <c r="I37" s="334"/>
      <c r="J37" s="334"/>
      <c r="K37" s="217"/>
    </row>
    <row r="38" spans="2:11" ht="15" customHeight="1" x14ac:dyDescent="0.3">
      <c r="B38" s="220"/>
      <c r="C38" s="221"/>
      <c r="D38" s="219"/>
      <c r="E38" s="222" t="s">
        <v>63</v>
      </c>
      <c r="F38" s="219"/>
      <c r="G38" s="334" t="s">
        <v>2414</v>
      </c>
      <c r="H38" s="334"/>
      <c r="I38" s="334"/>
      <c r="J38" s="334"/>
      <c r="K38" s="217"/>
    </row>
    <row r="39" spans="2:11" ht="15" customHeight="1" x14ac:dyDescent="0.3">
      <c r="B39" s="220"/>
      <c r="C39" s="221"/>
      <c r="D39" s="219"/>
      <c r="E39" s="222" t="s">
        <v>170</v>
      </c>
      <c r="F39" s="219"/>
      <c r="G39" s="334" t="s">
        <v>2415</v>
      </c>
      <c r="H39" s="334"/>
      <c r="I39" s="334"/>
      <c r="J39" s="334"/>
      <c r="K39" s="217"/>
    </row>
    <row r="40" spans="2:11" ht="15" customHeight="1" x14ac:dyDescent="0.3">
      <c r="B40" s="220"/>
      <c r="C40" s="221"/>
      <c r="D40" s="219"/>
      <c r="E40" s="222" t="s">
        <v>171</v>
      </c>
      <c r="F40" s="219"/>
      <c r="G40" s="334" t="s">
        <v>2416</v>
      </c>
      <c r="H40" s="334"/>
      <c r="I40" s="334"/>
      <c r="J40" s="334"/>
      <c r="K40" s="217"/>
    </row>
    <row r="41" spans="2:11" ht="15" customHeight="1" x14ac:dyDescent="0.3">
      <c r="B41" s="220"/>
      <c r="C41" s="221"/>
      <c r="D41" s="219"/>
      <c r="E41" s="222" t="s">
        <v>172</v>
      </c>
      <c r="F41" s="219"/>
      <c r="G41" s="334" t="s">
        <v>2417</v>
      </c>
      <c r="H41" s="334"/>
      <c r="I41" s="334"/>
      <c r="J41" s="334"/>
      <c r="K41" s="217"/>
    </row>
    <row r="42" spans="2:11" ht="15" customHeight="1" x14ac:dyDescent="0.3">
      <c r="B42" s="220"/>
      <c r="C42" s="221"/>
      <c r="D42" s="219"/>
      <c r="E42" s="222" t="s">
        <v>2418</v>
      </c>
      <c r="F42" s="219"/>
      <c r="G42" s="334" t="s">
        <v>2419</v>
      </c>
      <c r="H42" s="334"/>
      <c r="I42" s="334"/>
      <c r="J42" s="334"/>
      <c r="K42" s="217"/>
    </row>
    <row r="43" spans="2:11" ht="15" customHeight="1" x14ac:dyDescent="0.3">
      <c r="B43" s="220"/>
      <c r="C43" s="221"/>
      <c r="D43" s="219"/>
      <c r="E43" s="222"/>
      <c r="F43" s="219"/>
      <c r="G43" s="334" t="s">
        <v>2420</v>
      </c>
      <c r="H43" s="334"/>
      <c r="I43" s="334"/>
      <c r="J43" s="334"/>
      <c r="K43" s="217"/>
    </row>
    <row r="44" spans="2:11" ht="15" customHeight="1" x14ac:dyDescent="0.3">
      <c r="B44" s="220"/>
      <c r="C44" s="221"/>
      <c r="D44" s="219"/>
      <c r="E44" s="222" t="s">
        <v>2421</v>
      </c>
      <c r="F44" s="219"/>
      <c r="G44" s="334" t="s">
        <v>2422</v>
      </c>
      <c r="H44" s="334"/>
      <c r="I44" s="334"/>
      <c r="J44" s="334"/>
      <c r="K44" s="217"/>
    </row>
    <row r="45" spans="2:11" ht="15" customHeight="1" x14ac:dyDescent="0.3">
      <c r="B45" s="220"/>
      <c r="C45" s="221"/>
      <c r="D45" s="219"/>
      <c r="E45" s="222" t="s">
        <v>174</v>
      </c>
      <c r="F45" s="219"/>
      <c r="G45" s="334" t="s">
        <v>2423</v>
      </c>
      <c r="H45" s="334"/>
      <c r="I45" s="334"/>
      <c r="J45" s="334"/>
      <c r="K45" s="217"/>
    </row>
    <row r="46" spans="2:11" ht="12.75" customHeight="1" x14ac:dyDescent="0.3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ht="15" customHeight="1" x14ac:dyDescent="0.3">
      <c r="B47" s="220"/>
      <c r="C47" s="221"/>
      <c r="D47" s="334" t="s">
        <v>2424</v>
      </c>
      <c r="E47" s="334"/>
      <c r="F47" s="334"/>
      <c r="G47" s="334"/>
      <c r="H47" s="334"/>
      <c r="I47" s="334"/>
      <c r="J47" s="334"/>
      <c r="K47" s="217"/>
    </row>
    <row r="48" spans="2:11" ht="15" customHeight="1" x14ac:dyDescent="0.3">
      <c r="B48" s="220"/>
      <c r="C48" s="221"/>
      <c r="D48" s="221"/>
      <c r="E48" s="334" t="s">
        <v>2425</v>
      </c>
      <c r="F48" s="334"/>
      <c r="G48" s="334"/>
      <c r="H48" s="334"/>
      <c r="I48" s="334"/>
      <c r="J48" s="334"/>
      <c r="K48" s="217"/>
    </row>
    <row r="49" spans="2:11" ht="15" customHeight="1" x14ac:dyDescent="0.3">
      <c r="B49" s="220"/>
      <c r="C49" s="221"/>
      <c r="D49" s="221"/>
      <c r="E49" s="334" t="s">
        <v>2426</v>
      </c>
      <c r="F49" s="334"/>
      <c r="G49" s="334"/>
      <c r="H49" s="334"/>
      <c r="I49" s="334"/>
      <c r="J49" s="334"/>
      <c r="K49" s="217"/>
    </row>
    <row r="50" spans="2:11" ht="15" customHeight="1" x14ac:dyDescent="0.3">
      <c r="B50" s="220"/>
      <c r="C50" s="221"/>
      <c r="D50" s="221"/>
      <c r="E50" s="334" t="s">
        <v>2427</v>
      </c>
      <c r="F50" s="334"/>
      <c r="G50" s="334"/>
      <c r="H50" s="334"/>
      <c r="I50" s="334"/>
      <c r="J50" s="334"/>
      <c r="K50" s="217"/>
    </row>
    <row r="51" spans="2:11" ht="15" customHeight="1" x14ac:dyDescent="0.3">
      <c r="B51" s="220"/>
      <c r="C51" s="221"/>
      <c r="D51" s="334" t="s">
        <v>2428</v>
      </c>
      <c r="E51" s="334"/>
      <c r="F51" s="334"/>
      <c r="G51" s="334"/>
      <c r="H51" s="334"/>
      <c r="I51" s="334"/>
      <c r="J51" s="334"/>
      <c r="K51" s="217"/>
    </row>
    <row r="52" spans="2:11" ht="25.5" customHeight="1" x14ac:dyDescent="0.3">
      <c r="B52" s="216"/>
      <c r="C52" s="335" t="s">
        <v>2429</v>
      </c>
      <c r="D52" s="335"/>
      <c r="E52" s="335"/>
      <c r="F52" s="335"/>
      <c r="G52" s="335"/>
      <c r="H52" s="335"/>
      <c r="I52" s="335"/>
      <c r="J52" s="335"/>
      <c r="K52" s="217"/>
    </row>
    <row r="53" spans="2:11" ht="5.25" customHeight="1" x14ac:dyDescent="0.3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ht="15" customHeight="1" x14ac:dyDescent="0.3">
      <c r="B54" s="216"/>
      <c r="C54" s="334" t="s">
        <v>2430</v>
      </c>
      <c r="D54" s="334"/>
      <c r="E54" s="334"/>
      <c r="F54" s="334"/>
      <c r="G54" s="334"/>
      <c r="H54" s="334"/>
      <c r="I54" s="334"/>
      <c r="J54" s="334"/>
      <c r="K54" s="217"/>
    </row>
    <row r="55" spans="2:11" ht="15" customHeight="1" x14ac:dyDescent="0.3">
      <c r="B55" s="216"/>
      <c r="C55" s="334" t="s">
        <v>2431</v>
      </c>
      <c r="D55" s="334"/>
      <c r="E55" s="334"/>
      <c r="F55" s="334"/>
      <c r="G55" s="334"/>
      <c r="H55" s="334"/>
      <c r="I55" s="334"/>
      <c r="J55" s="334"/>
      <c r="K55" s="217"/>
    </row>
    <row r="56" spans="2:11" ht="12.75" customHeight="1" x14ac:dyDescent="0.3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ht="15" customHeight="1" x14ac:dyDescent="0.3">
      <c r="B57" s="216"/>
      <c r="C57" s="334" t="s">
        <v>2432</v>
      </c>
      <c r="D57" s="334"/>
      <c r="E57" s="334"/>
      <c r="F57" s="334"/>
      <c r="G57" s="334"/>
      <c r="H57" s="334"/>
      <c r="I57" s="334"/>
      <c r="J57" s="334"/>
      <c r="K57" s="217"/>
    </row>
    <row r="58" spans="2:11" ht="15" customHeight="1" x14ac:dyDescent="0.3">
      <c r="B58" s="216"/>
      <c r="C58" s="221"/>
      <c r="D58" s="334" t="s">
        <v>2433</v>
      </c>
      <c r="E58" s="334"/>
      <c r="F58" s="334"/>
      <c r="G58" s="334"/>
      <c r="H58" s="334"/>
      <c r="I58" s="334"/>
      <c r="J58" s="334"/>
      <c r="K58" s="217"/>
    </row>
    <row r="59" spans="2:11" ht="15" customHeight="1" x14ac:dyDescent="0.3">
      <c r="B59" s="216"/>
      <c r="C59" s="221"/>
      <c r="D59" s="334" t="s">
        <v>2434</v>
      </c>
      <c r="E59" s="334"/>
      <c r="F59" s="334"/>
      <c r="G59" s="334"/>
      <c r="H59" s="334"/>
      <c r="I59" s="334"/>
      <c r="J59" s="334"/>
      <c r="K59" s="217"/>
    </row>
    <row r="60" spans="2:11" ht="15" customHeight="1" x14ac:dyDescent="0.3">
      <c r="B60" s="216"/>
      <c r="C60" s="221"/>
      <c r="D60" s="334" t="s">
        <v>2435</v>
      </c>
      <c r="E60" s="334"/>
      <c r="F60" s="334"/>
      <c r="G60" s="334"/>
      <c r="H60" s="334"/>
      <c r="I60" s="334"/>
      <c r="J60" s="334"/>
      <c r="K60" s="217"/>
    </row>
    <row r="61" spans="2:11" ht="15" customHeight="1" x14ac:dyDescent="0.3">
      <c r="B61" s="216"/>
      <c r="C61" s="221"/>
      <c r="D61" s="334" t="s">
        <v>2436</v>
      </c>
      <c r="E61" s="334"/>
      <c r="F61" s="334"/>
      <c r="G61" s="334"/>
      <c r="H61" s="334"/>
      <c r="I61" s="334"/>
      <c r="J61" s="334"/>
      <c r="K61" s="217"/>
    </row>
    <row r="62" spans="2:11" ht="15" customHeight="1" x14ac:dyDescent="0.3">
      <c r="B62" s="216"/>
      <c r="C62" s="221"/>
      <c r="D62" s="336" t="s">
        <v>2437</v>
      </c>
      <c r="E62" s="336"/>
      <c r="F62" s="336"/>
      <c r="G62" s="336"/>
      <c r="H62" s="336"/>
      <c r="I62" s="336"/>
      <c r="J62" s="336"/>
      <c r="K62" s="217"/>
    </row>
    <row r="63" spans="2:11" ht="15" customHeight="1" x14ac:dyDescent="0.3">
      <c r="B63" s="216"/>
      <c r="C63" s="221"/>
      <c r="D63" s="334" t="s">
        <v>2438</v>
      </c>
      <c r="E63" s="334"/>
      <c r="F63" s="334"/>
      <c r="G63" s="334"/>
      <c r="H63" s="334"/>
      <c r="I63" s="334"/>
      <c r="J63" s="334"/>
      <c r="K63" s="217"/>
    </row>
    <row r="64" spans="2:11" ht="12.75" customHeight="1" x14ac:dyDescent="0.3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ht="15" customHeight="1" x14ac:dyDescent="0.3">
      <c r="B65" s="216"/>
      <c r="C65" s="221"/>
      <c r="D65" s="334" t="s">
        <v>2439</v>
      </c>
      <c r="E65" s="334"/>
      <c r="F65" s="334"/>
      <c r="G65" s="334"/>
      <c r="H65" s="334"/>
      <c r="I65" s="334"/>
      <c r="J65" s="334"/>
      <c r="K65" s="217"/>
    </row>
    <row r="66" spans="2:11" ht="15" customHeight="1" x14ac:dyDescent="0.3">
      <c r="B66" s="216"/>
      <c r="C66" s="221"/>
      <c r="D66" s="336" t="s">
        <v>2440</v>
      </c>
      <c r="E66" s="336"/>
      <c r="F66" s="336"/>
      <c r="G66" s="336"/>
      <c r="H66" s="336"/>
      <c r="I66" s="336"/>
      <c r="J66" s="336"/>
      <c r="K66" s="217"/>
    </row>
    <row r="67" spans="2:11" ht="15" customHeight="1" x14ac:dyDescent="0.3">
      <c r="B67" s="216"/>
      <c r="C67" s="221"/>
      <c r="D67" s="334" t="s">
        <v>2441</v>
      </c>
      <c r="E67" s="334"/>
      <c r="F67" s="334"/>
      <c r="G67" s="334"/>
      <c r="H67" s="334"/>
      <c r="I67" s="334"/>
      <c r="J67" s="334"/>
      <c r="K67" s="217"/>
    </row>
    <row r="68" spans="2:11" ht="15" customHeight="1" x14ac:dyDescent="0.3">
      <c r="B68" s="216"/>
      <c r="C68" s="221"/>
      <c r="D68" s="334" t="s">
        <v>2442</v>
      </c>
      <c r="E68" s="334"/>
      <c r="F68" s="334"/>
      <c r="G68" s="334"/>
      <c r="H68" s="334"/>
      <c r="I68" s="334"/>
      <c r="J68" s="334"/>
      <c r="K68" s="217"/>
    </row>
    <row r="69" spans="2:11" ht="15" customHeight="1" x14ac:dyDescent="0.3">
      <c r="B69" s="216"/>
      <c r="C69" s="221"/>
      <c r="D69" s="334" t="s">
        <v>2443</v>
      </c>
      <c r="E69" s="334"/>
      <c r="F69" s="334"/>
      <c r="G69" s="334"/>
      <c r="H69" s="334"/>
      <c r="I69" s="334"/>
      <c r="J69" s="334"/>
      <c r="K69" s="217"/>
    </row>
    <row r="70" spans="2:11" ht="15" customHeight="1" x14ac:dyDescent="0.3">
      <c r="B70" s="216"/>
      <c r="C70" s="221"/>
      <c r="D70" s="334" t="s">
        <v>2444</v>
      </c>
      <c r="E70" s="334"/>
      <c r="F70" s="334"/>
      <c r="G70" s="334"/>
      <c r="H70" s="334"/>
      <c r="I70" s="334"/>
      <c r="J70" s="334"/>
      <c r="K70" s="217"/>
    </row>
    <row r="71" spans="2:11" ht="12.75" customHeight="1" x14ac:dyDescent="0.3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ht="18.75" customHeight="1" x14ac:dyDescent="0.3">
      <c r="B72" s="228"/>
      <c r="C72" s="228"/>
      <c r="D72" s="228"/>
      <c r="E72" s="228"/>
      <c r="F72" s="228"/>
      <c r="G72" s="228"/>
      <c r="H72" s="228"/>
      <c r="I72" s="228"/>
      <c r="J72" s="228"/>
      <c r="K72" s="228"/>
    </row>
    <row r="73" spans="2:11" ht="18.75" customHeight="1" x14ac:dyDescent="0.3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2:11" ht="7.5" customHeight="1" x14ac:dyDescent="0.3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2:11" ht="45" customHeight="1" x14ac:dyDescent="0.3">
      <c r="B75" s="232"/>
      <c r="C75" s="329" t="s">
        <v>2445</v>
      </c>
      <c r="D75" s="329"/>
      <c r="E75" s="329"/>
      <c r="F75" s="329"/>
      <c r="G75" s="329"/>
      <c r="H75" s="329"/>
      <c r="I75" s="329"/>
      <c r="J75" s="329"/>
      <c r="K75" s="233"/>
    </row>
    <row r="76" spans="2:11" ht="17.25" customHeight="1" x14ac:dyDescent="0.3">
      <c r="B76" s="232"/>
      <c r="C76" s="234" t="s">
        <v>2446</v>
      </c>
      <c r="D76" s="234"/>
      <c r="E76" s="234"/>
      <c r="F76" s="234" t="s">
        <v>2447</v>
      </c>
      <c r="G76" s="235"/>
      <c r="H76" s="234" t="s">
        <v>170</v>
      </c>
      <c r="I76" s="234" t="s">
        <v>66</v>
      </c>
      <c r="J76" s="234" t="s">
        <v>2448</v>
      </c>
      <c r="K76" s="233"/>
    </row>
    <row r="77" spans="2:11" ht="17.25" customHeight="1" x14ac:dyDescent="0.3">
      <c r="B77" s="232"/>
      <c r="C77" s="236" t="s">
        <v>2449</v>
      </c>
      <c r="D77" s="236"/>
      <c r="E77" s="236"/>
      <c r="F77" s="237" t="s">
        <v>2450</v>
      </c>
      <c r="G77" s="238"/>
      <c r="H77" s="236"/>
      <c r="I77" s="236"/>
      <c r="J77" s="236" t="s">
        <v>2451</v>
      </c>
      <c r="K77" s="233"/>
    </row>
    <row r="78" spans="2:11" ht="5.25" customHeight="1" x14ac:dyDescent="0.3">
      <c r="B78" s="232"/>
      <c r="C78" s="239"/>
      <c r="D78" s="239"/>
      <c r="E78" s="239"/>
      <c r="F78" s="239"/>
      <c r="G78" s="240"/>
      <c r="H78" s="239"/>
      <c r="I78" s="239"/>
      <c r="J78" s="239"/>
      <c r="K78" s="233"/>
    </row>
    <row r="79" spans="2:11" ht="15" customHeight="1" x14ac:dyDescent="0.3">
      <c r="B79" s="232"/>
      <c r="C79" s="222" t="s">
        <v>63</v>
      </c>
      <c r="D79" s="241"/>
      <c r="E79" s="241"/>
      <c r="F79" s="242" t="s">
        <v>2452</v>
      </c>
      <c r="G79" s="222"/>
      <c r="H79" s="222" t="s">
        <v>2453</v>
      </c>
      <c r="I79" s="222" t="s">
        <v>2454</v>
      </c>
      <c r="J79" s="222">
        <v>20</v>
      </c>
      <c r="K79" s="233"/>
    </row>
    <row r="80" spans="2:11" ht="15" customHeight="1" x14ac:dyDescent="0.3">
      <c r="B80" s="232"/>
      <c r="C80" s="222" t="s">
        <v>2455</v>
      </c>
      <c r="D80" s="222"/>
      <c r="E80" s="222"/>
      <c r="F80" s="242" t="s">
        <v>2452</v>
      </c>
      <c r="G80" s="222"/>
      <c r="H80" s="222" t="s">
        <v>2456</v>
      </c>
      <c r="I80" s="222" t="s">
        <v>2454</v>
      </c>
      <c r="J80" s="222">
        <v>120</v>
      </c>
      <c r="K80" s="233"/>
    </row>
    <row r="81" spans="2:11" ht="15" customHeight="1" x14ac:dyDescent="0.3">
      <c r="B81" s="243"/>
      <c r="C81" s="222" t="s">
        <v>2457</v>
      </c>
      <c r="D81" s="222"/>
      <c r="E81" s="222"/>
      <c r="F81" s="242" t="s">
        <v>2458</v>
      </c>
      <c r="G81" s="222"/>
      <c r="H81" s="222" t="s">
        <v>2459</v>
      </c>
      <c r="I81" s="222" t="s">
        <v>2454</v>
      </c>
      <c r="J81" s="222">
        <v>50</v>
      </c>
      <c r="K81" s="233"/>
    </row>
    <row r="82" spans="2:11" ht="15" customHeight="1" x14ac:dyDescent="0.3">
      <c r="B82" s="243"/>
      <c r="C82" s="222" t="s">
        <v>2460</v>
      </c>
      <c r="D82" s="222"/>
      <c r="E82" s="222"/>
      <c r="F82" s="242" t="s">
        <v>2452</v>
      </c>
      <c r="G82" s="222"/>
      <c r="H82" s="222" t="s">
        <v>2461</v>
      </c>
      <c r="I82" s="222" t="s">
        <v>2462</v>
      </c>
      <c r="J82" s="222"/>
      <c r="K82" s="233"/>
    </row>
    <row r="83" spans="2:11" ht="15" customHeight="1" x14ac:dyDescent="0.3">
      <c r="B83" s="243"/>
      <c r="C83" s="222" t="s">
        <v>2463</v>
      </c>
      <c r="D83" s="222"/>
      <c r="E83" s="222"/>
      <c r="F83" s="242" t="s">
        <v>2458</v>
      </c>
      <c r="G83" s="222"/>
      <c r="H83" s="222" t="s">
        <v>2464</v>
      </c>
      <c r="I83" s="222" t="s">
        <v>2454</v>
      </c>
      <c r="J83" s="222">
        <v>15</v>
      </c>
      <c r="K83" s="233"/>
    </row>
    <row r="84" spans="2:11" ht="15" customHeight="1" x14ac:dyDescent="0.3">
      <c r="B84" s="243"/>
      <c r="C84" s="222" t="s">
        <v>2465</v>
      </c>
      <c r="D84" s="222"/>
      <c r="E84" s="222"/>
      <c r="F84" s="242" t="s">
        <v>2458</v>
      </c>
      <c r="G84" s="222"/>
      <c r="H84" s="222" t="s">
        <v>2466</v>
      </c>
      <c r="I84" s="222" t="s">
        <v>2454</v>
      </c>
      <c r="J84" s="222">
        <v>15</v>
      </c>
      <c r="K84" s="233"/>
    </row>
    <row r="85" spans="2:11" ht="15" customHeight="1" x14ac:dyDescent="0.3">
      <c r="B85" s="243"/>
      <c r="C85" s="222" t="s">
        <v>2467</v>
      </c>
      <c r="D85" s="222"/>
      <c r="E85" s="222"/>
      <c r="F85" s="242" t="s">
        <v>2458</v>
      </c>
      <c r="G85" s="222"/>
      <c r="H85" s="222" t="s">
        <v>2468</v>
      </c>
      <c r="I85" s="222" t="s">
        <v>2454</v>
      </c>
      <c r="J85" s="222">
        <v>20</v>
      </c>
      <c r="K85" s="233"/>
    </row>
    <row r="86" spans="2:11" ht="15" customHeight="1" x14ac:dyDescent="0.3">
      <c r="B86" s="243"/>
      <c r="C86" s="222" t="s">
        <v>2469</v>
      </c>
      <c r="D86" s="222"/>
      <c r="E86" s="222"/>
      <c r="F86" s="242" t="s">
        <v>2458</v>
      </c>
      <c r="G86" s="222"/>
      <c r="H86" s="222" t="s">
        <v>2470</v>
      </c>
      <c r="I86" s="222" t="s">
        <v>2454</v>
      </c>
      <c r="J86" s="222">
        <v>20</v>
      </c>
      <c r="K86" s="233"/>
    </row>
    <row r="87" spans="2:11" ht="15" customHeight="1" x14ac:dyDescent="0.3">
      <c r="B87" s="243"/>
      <c r="C87" s="222" t="s">
        <v>2471</v>
      </c>
      <c r="D87" s="222"/>
      <c r="E87" s="222"/>
      <c r="F87" s="242" t="s">
        <v>2458</v>
      </c>
      <c r="G87" s="222"/>
      <c r="H87" s="222" t="s">
        <v>2472</v>
      </c>
      <c r="I87" s="222" t="s">
        <v>2454</v>
      </c>
      <c r="J87" s="222">
        <v>50</v>
      </c>
      <c r="K87" s="233"/>
    </row>
    <row r="88" spans="2:11" ht="15" customHeight="1" x14ac:dyDescent="0.3">
      <c r="B88" s="243"/>
      <c r="C88" s="222" t="s">
        <v>2473</v>
      </c>
      <c r="D88" s="222"/>
      <c r="E88" s="222"/>
      <c r="F88" s="242" t="s">
        <v>2458</v>
      </c>
      <c r="G88" s="222"/>
      <c r="H88" s="222" t="s">
        <v>2474</v>
      </c>
      <c r="I88" s="222" t="s">
        <v>2454</v>
      </c>
      <c r="J88" s="222">
        <v>20</v>
      </c>
      <c r="K88" s="233"/>
    </row>
    <row r="89" spans="2:11" ht="15" customHeight="1" x14ac:dyDescent="0.3">
      <c r="B89" s="243"/>
      <c r="C89" s="222" t="s">
        <v>2475</v>
      </c>
      <c r="D89" s="222"/>
      <c r="E89" s="222"/>
      <c r="F89" s="242" t="s">
        <v>2458</v>
      </c>
      <c r="G89" s="222"/>
      <c r="H89" s="222" t="s">
        <v>2476</v>
      </c>
      <c r="I89" s="222" t="s">
        <v>2454</v>
      </c>
      <c r="J89" s="222">
        <v>20</v>
      </c>
      <c r="K89" s="233"/>
    </row>
    <row r="90" spans="2:11" ht="15" customHeight="1" x14ac:dyDescent="0.3">
      <c r="B90" s="243"/>
      <c r="C90" s="222" t="s">
        <v>2477</v>
      </c>
      <c r="D90" s="222"/>
      <c r="E90" s="222"/>
      <c r="F90" s="242" t="s">
        <v>2458</v>
      </c>
      <c r="G90" s="222"/>
      <c r="H90" s="222" t="s">
        <v>2478</v>
      </c>
      <c r="I90" s="222" t="s">
        <v>2454</v>
      </c>
      <c r="J90" s="222">
        <v>50</v>
      </c>
      <c r="K90" s="233"/>
    </row>
    <row r="91" spans="2:11" ht="15" customHeight="1" x14ac:dyDescent="0.3">
      <c r="B91" s="243"/>
      <c r="C91" s="222" t="s">
        <v>55</v>
      </c>
      <c r="D91" s="222"/>
      <c r="E91" s="222"/>
      <c r="F91" s="242" t="s">
        <v>2458</v>
      </c>
      <c r="G91" s="222"/>
      <c r="H91" s="222" t="s">
        <v>55</v>
      </c>
      <c r="I91" s="222" t="s">
        <v>2454</v>
      </c>
      <c r="J91" s="222">
        <v>50</v>
      </c>
      <c r="K91" s="233"/>
    </row>
    <row r="92" spans="2:11" ht="15" customHeight="1" x14ac:dyDescent="0.3">
      <c r="B92" s="243"/>
      <c r="C92" s="222" t="s">
        <v>2479</v>
      </c>
      <c r="D92" s="222"/>
      <c r="E92" s="222"/>
      <c r="F92" s="242" t="s">
        <v>2458</v>
      </c>
      <c r="G92" s="222"/>
      <c r="H92" s="222" t="s">
        <v>2480</v>
      </c>
      <c r="I92" s="222" t="s">
        <v>2454</v>
      </c>
      <c r="J92" s="222">
        <v>255</v>
      </c>
      <c r="K92" s="233"/>
    </row>
    <row r="93" spans="2:11" ht="15" customHeight="1" x14ac:dyDescent="0.3">
      <c r="B93" s="243"/>
      <c r="C93" s="222" t="s">
        <v>2481</v>
      </c>
      <c r="D93" s="222"/>
      <c r="E93" s="222"/>
      <c r="F93" s="242" t="s">
        <v>2452</v>
      </c>
      <c r="G93" s="222"/>
      <c r="H93" s="222" t="s">
        <v>2482</v>
      </c>
      <c r="I93" s="222" t="s">
        <v>2483</v>
      </c>
      <c r="J93" s="222"/>
      <c r="K93" s="233"/>
    </row>
    <row r="94" spans="2:11" ht="15" customHeight="1" x14ac:dyDescent="0.3">
      <c r="B94" s="243"/>
      <c r="C94" s="222" t="s">
        <v>2484</v>
      </c>
      <c r="D94" s="222"/>
      <c r="E94" s="222"/>
      <c r="F94" s="242" t="s">
        <v>2452</v>
      </c>
      <c r="G94" s="222"/>
      <c r="H94" s="222" t="s">
        <v>2485</v>
      </c>
      <c r="I94" s="222" t="s">
        <v>2486</v>
      </c>
      <c r="J94" s="222"/>
      <c r="K94" s="233"/>
    </row>
    <row r="95" spans="2:11" ht="15" customHeight="1" x14ac:dyDescent="0.3">
      <c r="B95" s="243"/>
      <c r="C95" s="222" t="s">
        <v>2487</v>
      </c>
      <c r="D95" s="222"/>
      <c r="E95" s="222"/>
      <c r="F95" s="242" t="s">
        <v>2452</v>
      </c>
      <c r="G95" s="222"/>
      <c r="H95" s="222" t="s">
        <v>2487</v>
      </c>
      <c r="I95" s="222" t="s">
        <v>2486</v>
      </c>
      <c r="J95" s="222"/>
      <c r="K95" s="233"/>
    </row>
    <row r="96" spans="2:11" ht="15" customHeight="1" x14ac:dyDescent="0.3">
      <c r="B96" s="243"/>
      <c r="C96" s="222" t="s">
        <v>42</v>
      </c>
      <c r="D96" s="222"/>
      <c r="E96" s="222"/>
      <c r="F96" s="242" t="s">
        <v>2452</v>
      </c>
      <c r="G96" s="222"/>
      <c r="H96" s="222" t="s">
        <v>2488</v>
      </c>
      <c r="I96" s="222" t="s">
        <v>2486</v>
      </c>
      <c r="J96" s="222"/>
      <c r="K96" s="233"/>
    </row>
    <row r="97" spans="2:11" ht="15" customHeight="1" x14ac:dyDescent="0.3">
      <c r="B97" s="243"/>
      <c r="C97" s="222" t="s">
        <v>52</v>
      </c>
      <c r="D97" s="222"/>
      <c r="E97" s="222"/>
      <c r="F97" s="242" t="s">
        <v>2452</v>
      </c>
      <c r="G97" s="222"/>
      <c r="H97" s="222" t="s">
        <v>2489</v>
      </c>
      <c r="I97" s="222" t="s">
        <v>2486</v>
      </c>
      <c r="J97" s="222"/>
      <c r="K97" s="233"/>
    </row>
    <row r="98" spans="2:11" ht="15" customHeight="1" x14ac:dyDescent="0.3">
      <c r="B98" s="244"/>
      <c r="C98" s="245"/>
      <c r="D98" s="245"/>
      <c r="E98" s="245"/>
      <c r="F98" s="245"/>
      <c r="G98" s="245"/>
      <c r="H98" s="245"/>
      <c r="I98" s="245"/>
      <c r="J98" s="245"/>
      <c r="K98" s="246"/>
    </row>
    <row r="99" spans="2:11" ht="18.75" customHeight="1" x14ac:dyDescent="0.3">
      <c r="B99" s="247"/>
      <c r="C99" s="248"/>
      <c r="D99" s="248"/>
      <c r="E99" s="248"/>
      <c r="F99" s="248"/>
      <c r="G99" s="248"/>
      <c r="H99" s="248"/>
      <c r="I99" s="248"/>
      <c r="J99" s="248"/>
      <c r="K99" s="247"/>
    </row>
    <row r="100" spans="2:11" ht="18.75" customHeight="1" x14ac:dyDescent="0.3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pans="2:11" ht="7.5" customHeight="1" x14ac:dyDescent="0.3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pans="2:11" ht="45" customHeight="1" x14ac:dyDescent="0.3">
      <c r="B102" s="232"/>
      <c r="C102" s="329" t="s">
        <v>2490</v>
      </c>
      <c r="D102" s="329"/>
      <c r="E102" s="329"/>
      <c r="F102" s="329"/>
      <c r="G102" s="329"/>
      <c r="H102" s="329"/>
      <c r="I102" s="329"/>
      <c r="J102" s="329"/>
      <c r="K102" s="233"/>
    </row>
    <row r="103" spans="2:11" ht="17.25" customHeight="1" x14ac:dyDescent="0.3">
      <c r="B103" s="232"/>
      <c r="C103" s="234" t="s">
        <v>2446</v>
      </c>
      <c r="D103" s="234"/>
      <c r="E103" s="234"/>
      <c r="F103" s="234" t="s">
        <v>2447</v>
      </c>
      <c r="G103" s="235"/>
      <c r="H103" s="234" t="s">
        <v>170</v>
      </c>
      <c r="I103" s="234" t="s">
        <v>66</v>
      </c>
      <c r="J103" s="234" t="s">
        <v>2448</v>
      </c>
      <c r="K103" s="233"/>
    </row>
    <row r="104" spans="2:11" ht="17.25" customHeight="1" x14ac:dyDescent="0.3">
      <c r="B104" s="232"/>
      <c r="C104" s="236" t="s">
        <v>2449</v>
      </c>
      <c r="D104" s="236"/>
      <c r="E104" s="236"/>
      <c r="F104" s="237" t="s">
        <v>2450</v>
      </c>
      <c r="G104" s="238"/>
      <c r="H104" s="236"/>
      <c r="I104" s="236"/>
      <c r="J104" s="236" t="s">
        <v>2451</v>
      </c>
      <c r="K104" s="233"/>
    </row>
    <row r="105" spans="2:11" ht="5.25" customHeight="1" x14ac:dyDescent="0.3">
      <c r="B105" s="232"/>
      <c r="C105" s="234"/>
      <c r="D105" s="234"/>
      <c r="E105" s="234"/>
      <c r="F105" s="234"/>
      <c r="G105" s="235"/>
      <c r="H105" s="234"/>
      <c r="I105" s="234"/>
      <c r="J105" s="234"/>
      <c r="K105" s="233"/>
    </row>
    <row r="106" spans="2:11" ht="15" customHeight="1" x14ac:dyDescent="0.3">
      <c r="B106" s="232"/>
      <c r="C106" s="222" t="s">
        <v>63</v>
      </c>
      <c r="D106" s="241"/>
      <c r="E106" s="241"/>
      <c r="F106" s="242" t="s">
        <v>2452</v>
      </c>
      <c r="G106" s="222"/>
      <c r="H106" s="222" t="s">
        <v>2491</v>
      </c>
      <c r="I106" s="222" t="s">
        <v>2454</v>
      </c>
      <c r="J106" s="222">
        <v>20</v>
      </c>
      <c r="K106" s="233"/>
    </row>
    <row r="107" spans="2:11" ht="15" customHeight="1" x14ac:dyDescent="0.3">
      <c r="B107" s="232"/>
      <c r="C107" s="222" t="s">
        <v>2455</v>
      </c>
      <c r="D107" s="222"/>
      <c r="E107" s="222"/>
      <c r="F107" s="242" t="s">
        <v>2452</v>
      </c>
      <c r="G107" s="222"/>
      <c r="H107" s="222" t="s">
        <v>2491</v>
      </c>
      <c r="I107" s="222" t="s">
        <v>2454</v>
      </c>
      <c r="J107" s="222">
        <v>120</v>
      </c>
      <c r="K107" s="233"/>
    </row>
    <row r="108" spans="2:11" ht="15" customHeight="1" x14ac:dyDescent="0.3">
      <c r="B108" s="243"/>
      <c r="C108" s="222" t="s">
        <v>2457</v>
      </c>
      <c r="D108" s="222"/>
      <c r="E108" s="222"/>
      <c r="F108" s="242" t="s">
        <v>2458</v>
      </c>
      <c r="G108" s="222"/>
      <c r="H108" s="222" t="s">
        <v>2491</v>
      </c>
      <c r="I108" s="222" t="s">
        <v>2454</v>
      </c>
      <c r="J108" s="222">
        <v>50</v>
      </c>
      <c r="K108" s="233"/>
    </row>
    <row r="109" spans="2:11" ht="15" customHeight="1" x14ac:dyDescent="0.3">
      <c r="B109" s="243"/>
      <c r="C109" s="222" t="s">
        <v>2460</v>
      </c>
      <c r="D109" s="222"/>
      <c r="E109" s="222"/>
      <c r="F109" s="242" t="s">
        <v>2452</v>
      </c>
      <c r="G109" s="222"/>
      <c r="H109" s="222" t="s">
        <v>2491</v>
      </c>
      <c r="I109" s="222" t="s">
        <v>2462</v>
      </c>
      <c r="J109" s="222"/>
      <c r="K109" s="233"/>
    </row>
    <row r="110" spans="2:11" ht="15" customHeight="1" x14ac:dyDescent="0.3">
      <c r="B110" s="243"/>
      <c r="C110" s="222" t="s">
        <v>2471</v>
      </c>
      <c r="D110" s="222"/>
      <c r="E110" s="222"/>
      <c r="F110" s="242" t="s">
        <v>2458</v>
      </c>
      <c r="G110" s="222"/>
      <c r="H110" s="222" t="s">
        <v>2491</v>
      </c>
      <c r="I110" s="222" t="s">
        <v>2454</v>
      </c>
      <c r="J110" s="222">
        <v>50</v>
      </c>
      <c r="K110" s="233"/>
    </row>
    <row r="111" spans="2:11" ht="15" customHeight="1" x14ac:dyDescent="0.3">
      <c r="B111" s="243"/>
      <c r="C111" s="222" t="s">
        <v>55</v>
      </c>
      <c r="D111" s="222"/>
      <c r="E111" s="222"/>
      <c r="F111" s="242" t="s">
        <v>2458</v>
      </c>
      <c r="G111" s="222"/>
      <c r="H111" s="222" t="s">
        <v>2491</v>
      </c>
      <c r="I111" s="222" t="s">
        <v>2454</v>
      </c>
      <c r="J111" s="222">
        <v>50</v>
      </c>
      <c r="K111" s="233"/>
    </row>
    <row r="112" spans="2:11" ht="15" customHeight="1" x14ac:dyDescent="0.3">
      <c r="B112" s="243"/>
      <c r="C112" s="222" t="s">
        <v>2477</v>
      </c>
      <c r="D112" s="222"/>
      <c r="E112" s="222"/>
      <c r="F112" s="242" t="s">
        <v>2458</v>
      </c>
      <c r="G112" s="222"/>
      <c r="H112" s="222" t="s">
        <v>2491</v>
      </c>
      <c r="I112" s="222" t="s">
        <v>2454</v>
      </c>
      <c r="J112" s="222">
        <v>50</v>
      </c>
      <c r="K112" s="233"/>
    </row>
    <row r="113" spans="2:11" ht="15" customHeight="1" x14ac:dyDescent="0.3">
      <c r="B113" s="243"/>
      <c r="C113" s="222" t="s">
        <v>63</v>
      </c>
      <c r="D113" s="222"/>
      <c r="E113" s="222"/>
      <c r="F113" s="242" t="s">
        <v>2452</v>
      </c>
      <c r="G113" s="222"/>
      <c r="H113" s="222" t="s">
        <v>2492</v>
      </c>
      <c r="I113" s="222" t="s">
        <v>2454</v>
      </c>
      <c r="J113" s="222">
        <v>20</v>
      </c>
      <c r="K113" s="233"/>
    </row>
    <row r="114" spans="2:11" ht="15" customHeight="1" x14ac:dyDescent="0.3">
      <c r="B114" s="243"/>
      <c r="C114" s="222" t="s">
        <v>2493</v>
      </c>
      <c r="D114" s="222"/>
      <c r="E114" s="222"/>
      <c r="F114" s="242" t="s">
        <v>2452</v>
      </c>
      <c r="G114" s="222"/>
      <c r="H114" s="222" t="s">
        <v>2494</v>
      </c>
      <c r="I114" s="222" t="s">
        <v>2454</v>
      </c>
      <c r="J114" s="222">
        <v>120</v>
      </c>
      <c r="K114" s="233"/>
    </row>
    <row r="115" spans="2:11" ht="15" customHeight="1" x14ac:dyDescent="0.3">
      <c r="B115" s="243"/>
      <c r="C115" s="222" t="s">
        <v>42</v>
      </c>
      <c r="D115" s="222"/>
      <c r="E115" s="222"/>
      <c r="F115" s="242" t="s">
        <v>2452</v>
      </c>
      <c r="G115" s="222"/>
      <c r="H115" s="222" t="s">
        <v>2495</v>
      </c>
      <c r="I115" s="222" t="s">
        <v>2486</v>
      </c>
      <c r="J115" s="222"/>
      <c r="K115" s="233"/>
    </row>
    <row r="116" spans="2:11" ht="15" customHeight="1" x14ac:dyDescent="0.3">
      <c r="B116" s="243"/>
      <c r="C116" s="222" t="s">
        <v>52</v>
      </c>
      <c r="D116" s="222"/>
      <c r="E116" s="222"/>
      <c r="F116" s="242" t="s">
        <v>2452</v>
      </c>
      <c r="G116" s="222"/>
      <c r="H116" s="222" t="s">
        <v>2496</v>
      </c>
      <c r="I116" s="222" t="s">
        <v>2486</v>
      </c>
      <c r="J116" s="222"/>
      <c r="K116" s="233"/>
    </row>
    <row r="117" spans="2:11" ht="15" customHeight="1" x14ac:dyDescent="0.3">
      <c r="B117" s="243"/>
      <c r="C117" s="222" t="s">
        <v>66</v>
      </c>
      <c r="D117" s="222"/>
      <c r="E117" s="222"/>
      <c r="F117" s="242" t="s">
        <v>2452</v>
      </c>
      <c r="G117" s="222"/>
      <c r="H117" s="222" t="s">
        <v>2497</v>
      </c>
      <c r="I117" s="222" t="s">
        <v>2498</v>
      </c>
      <c r="J117" s="222"/>
      <c r="K117" s="233"/>
    </row>
    <row r="118" spans="2:11" ht="15" customHeight="1" x14ac:dyDescent="0.3">
      <c r="B118" s="244"/>
      <c r="C118" s="249"/>
      <c r="D118" s="249"/>
      <c r="E118" s="249"/>
      <c r="F118" s="249"/>
      <c r="G118" s="249"/>
      <c r="H118" s="249"/>
      <c r="I118" s="249"/>
      <c r="J118" s="249"/>
      <c r="K118" s="246"/>
    </row>
    <row r="119" spans="2:11" ht="18.75" customHeight="1" x14ac:dyDescent="0.3">
      <c r="B119" s="250"/>
      <c r="C119" s="251"/>
      <c r="D119" s="251"/>
      <c r="E119" s="251"/>
      <c r="F119" s="252"/>
      <c r="G119" s="251"/>
      <c r="H119" s="251"/>
      <c r="I119" s="251"/>
      <c r="J119" s="251"/>
      <c r="K119" s="250"/>
    </row>
    <row r="120" spans="2:11" ht="18.75" customHeight="1" x14ac:dyDescent="0.3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pans="2:11" ht="7.5" customHeight="1" x14ac:dyDescent="0.3">
      <c r="B121" s="253"/>
      <c r="C121" s="254"/>
      <c r="D121" s="254"/>
      <c r="E121" s="254"/>
      <c r="F121" s="254"/>
      <c r="G121" s="254"/>
      <c r="H121" s="254"/>
      <c r="I121" s="254"/>
      <c r="J121" s="254"/>
      <c r="K121" s="255"/>
    </row>
    <row r="122" spans="2:11" ht="45" customHeight="1" x14ac:dyDescent="0.3">
      <c r="B122" s="256"/>
      <c r="C122" s="330" t="s">
        <v>2499</v>
      </c>
      <c r="D122" s="330"/>
      <c r="E122" s="330"/>
      <c r="F122" s="330"/>
      <c r="G122" s="330"/>
      <c r="H122" s="330"/>
      <c r="I122" s="330"/>
      <c r="J122" s="330"/>
      <c r="K122" s="257"/>
    </row>
    <row r="123" spans="2:11" ht="17.25" customHeight="1" x14ac:dyDescent="0.3">
      <c r="B123" s="258"/>
      <c r="C123" s="234" t="s">
        <v>2446</v>
      </c>
      <c r="D123" s="234"/>
      <c r="E123" s="234"/>
      <c r="F123" s="234" t="s">
        <v>2447</v>
      </c>
      <c r="G123" s="235"/>
      <c r="H123" s="234" t="s">
        <v>170</v>
      </c>
      <c r="I123" s="234" t="s">
        <v>66</v>
      </c>
      <c r="J123" s="234" t="s">
        <v>2448</v>
      </c>
      <c r="K123" s="259"/>
    </row>
    <row r="124" spans="2:11" ht="17.25" customHeight="1" x14ac:dyDescent="0.3">
      <c r="B124" s="258"/>
      <c r="C124" s="236" t="s">
        <v>2449</v>
      </c>
      <c r="D124" s="236"/>
      <c r="E124" s="236"/>
      <c r="F124" s="237" t="s">
        <v>2450</v>
      </c>
      <c r="G124" s="238"/>
      <c r="H124" s="236"/>
      <c r="I124" s="236"/>
      <c r="J124" s="236" t="s">
        <v>2451</v>
      </c>
      <c r="K124" s="259"/>
    </row>
    <row r="125" spans="2:11" ht="5.25" customHeight="1" x14ac:dyDescent="0.3">
      <c r="B125" s="260"/>
      <c r="C125" s="239"/>
      <c r="D125" s="239"/>
      <c r="E125" s="239"/>
      <c r="F125" s="239"/>
      <c r="G125" s="240"/>
      <c r="H125" s="239"/>
      <c r="I125" s="239"/>
      <c r="J125" s="239"/>
      <c r="K125" s="261"/>
    </row>
    <row r="126" spans="2:11" ht="15" customHeight="1" x14ac:dyDescent="0.3">
      <c r="B126" s="260"/>
      <c r="C126" s="222" t="s">
        <v>2455</v>
      </c>
      <c r="D126" s="241"/>
      <c r="E126" s="241"/>
      <c r="F126" s="242" t="s">
        <v>2452</v>
      </c>
      <c r="G126" s="222"/>
      <c r="H126" s="222" t="s">
        <v>2491</v>
      </c>
      <c r="I126" s="222" t="s">
        <v>2454</v>
      </c>
      <c r="J126" s="222">
        <v>120</v>
      </c>
      <c r="K126" s="262"/>
    </row>
    <row r="127" spans="2:11" ht="15" customHeight="1" x14ac:dyDescent="0.3">
      <c r="B127" s="260"/>
      <c r="C127" s="222" t="s">
        <v>2500</v>
      </c>
      <c r="D127" s="222"/>
      <c r="E127" s="222"/>
      <c r="F127" s="242" t="s">
        <v>2452</v>
      </c>
      <c r="G127" s="222"/>
      <c r="H127" s="222" t="s">
        <v>2501</v>
      </c>
      <c r="I127" s="222" t="s">
        <v>2454</v>
      </c>
      <c r="J127" s="222" t="s">
        <v>2502</v>
      </c>
      <c r="K127" s="262"/>
    </row>
    <row r="128" spans="2:11" ht="15" customHeight="1" x14ac:dyDescent="0.3">
      <c r="B128" s="260"/>
      <c r="C128" s="222" t="s">
        <v>2400</v>
      </c>
      <c r="D128" s="222"/>
      <c r="E128" s="222"/>
      <c r="F128" s="242" t="s">
        <v>2452</v>
      </c>
      <c r="G128" s="222"/>
      <c r="H128" s="222" t="s">
        <v>2503</v>
      </c>
      <c r="I128" s="222" t="s">
        <v>2454</v>
      </c>
      <c r="J128" s="222" t="s">
        <v>2502</v>
      </c>
      <c r="K128" s="262"/>
    </row>
    <row r="129" spans="2:11" ht="15" customHeight="1" x14ac:dyDescent="0.3">
      <c r="B129" s="260"/>
      <c r="C129" s="222" t="s">
        <v>2463</v>
      </c>
      <c r="D129" s="222"/>
      <c r="E129" s="222"/>
      <c r="F129" s="242" t="s">
        <v>2458</v>
      </c>
      <c r="G129" s="222"/>
      <c r="H129" s="222" t="s">
        <v>2464</v>
      </c>
      <c r="I129" s="222" t="s">
        <v>2454</v>
      </c>
      <c r="J129" s="222">
        <v>15</v>
      </c>
      <c r="K129" s="262"/>
    </row>
    <row r="130" spans="2:11" ht="15" customHeight="1" x14ac:dyDescent="0.3">
      <c r="B130" s="260"/>
      <c r="C130" s="222" t="s">
        <v>2465</v>
      </c>
      <c r="D130" s="222"/>
      <c r="E130" s="222"/>
      <c r="F130" s="242" t="s">
        <v>2458</v>
      </c>
      <c r="G130" s="222"/>
      <c r="H130" s="222" t="s">
        <v>2466</v>
      </c>
      <c r="I130" s="222" t="s">
        <v>2454</v>
      </c>
      <c r="J130" s="222">
        <v>15</v>
      </c>
      <c r="K130" s="262"/>
    </row>
    <row r="131" spans="2:11" ht="15" customHeight="1" x14ac:dyDescent="0.3">
      <c r="B131" s="260"/>
      <c r="C131" s="222" t="s">
        <v>2467</v>
      </c>
      <c r="D131" s="222"/>
      <c r="E131" s="222"/>
      <c r="F131" s="242" t="s">
        <v>2458</v>
      </c>
      <c r="G131" s="222"/>
      <c r="H131" s="222" t="s">
        <v>2468</v>
      </c>
      <c r="I131" s="222" t="s">
        <v>2454</v>
      </c>
      <c r="J131" s="222">
        <v>20</v>
      </c>
      <c r="K131" s="262"/>
    </row>
    <row r="132" spans="2:11" ht="15" customHeight="1" x14ac:dyDescent="0.3">
      <c r="B132" s="260"/>
      <c r="C132" s="222" t="s">
        <v>2469</v>
      </c>
      <c r="D132" s="222"/>
      <c r="E132" s="222"/>
      <c r="F132" s="242" t="s">
        <v>2458</v>
      </c>
      <c r="G132" s="222"/>
      <c r="H132" s="222" t="s">
        <v>2470</v>
      </c>
      <c r="I132" s="222" t="s">
        <v>2454</v>
      </c>
      <c r="J132" s="222">
        <v>20</v>
      </c>
      <c r="K132" s="262"/>
    </row>
    <row r="133" spans="2:11" ht="15" customHeight="1" x14ac:dyDescent="0.3">
      <c r="B133" s="260"/>
      <c r="C133" s="222" t="s">
        <v>2457</v>
      </c>
      <c r="D133" s="222"/>
      <c r="E133" s="222"/>
      <c r="F133" s="242" t="s">
        <v>2458</v>
      </c>
      <c r="G133" s="222"/>
      <c r="H133" s="222" t="s">
        <v>2491</v>
      </c>
      <c r="I133" s="222" t="s">
        <v>2454</v>
      </c>
      <c r="J133" s="222">
        <v>50</v>
      </c>
      <c r="K133" s="262"/>
    </row>
    <row r="134" spans="2:11" ht="15" customHeight="1" x14ac:dyDescent="0.3">
      <c r="B134" s="260"/>
      <c r="C134" s="222" t="s">
        <v>2471</v>
      </c>
      <c r="D134" s="222"/>
      <c r="E134" s="222"/>
      <c r="F134" s="242" t="s">
        <v>2458</v>
      </c>
      <c r="G134" s="222"/>
      <c r="H134" s="222" t="s">
        <v>2491</v>
      </c>
      <c r="I134" s="222" t="s">
        <v>2454</v>
      </c>
      <c r="J134" s="222">
        <v>50</v>
      </c>
      <c r="K134" s="262"/>
    </row>
    <row r="135" spans="2:11" ht="15" customHeight="1" x14ac:dyDescent="0.3">
      <c r="B135" s="260"/>
      <c r="C135" s="222" t="s">
        <v>2477</v>
      </c>
      <c r="D135" s="222"/>
      <c r="E135" s="222"/>
      <c r="F135" s="242" t="s">
        <v>2458</v>
      </c>
      <c r="G135" s="222"/>
      <c r="H135" s="222" t="s">
        <v>2491</v>
      </c>
      <c r="I135" s="222" t="s">
        <v>2454</v>
      </c>
      <c r="J135" s="222">
        <v>50</v>
      </c>
      <c r="K135" s="262"/>
    </row>
    <row r="136" spans="2:11" ht="15" customHeight="1" x14ac:dyDescent="0.3">
      <c r="B136" s="260"/>
      <c r="C136" s="222" t="s">
        <v>55</v>
      </c>
      <c r="D136" s="222"/>
      <c r="E136" s="222"/>
      <c r="F136" s="242" t="s">
        <v>2458</v>
      </c>
      <c r="G136" s="222"/>
      <c r="H136" s="222" t="s">
        <v>2491</v>
      </c>
      <c r="I136" s="222" t="s">
        <v>2454</v>
      </c>
      <c r="J136" s="222">
        <v>50</v>
      </c>
      <c r="K136" s="262"/>
    </row>
    <row r="137" spans="2:11" ht="15" customHeight="1" x14ac:dyDescent="0.3">
      <c r="B137" s="260"/>
      <c r="C137" s="222" t="s">
        <v>2479</v>
      </c>
      <c r="D137" s="222"/>
      <c r="E137" s="222"/>
      <c r="F137" s="242" t="s">
        <v>2458</v>
      </c>
      <c r="G137" s="222"/>
      <c r="H137" s="222" t="s">
        <v>2504</v>
      </c>
      <c r="I137" s="222" t="s">
        <v>2454</v>
      </c>
      <c r="J137" s="222">
        <v>255</v>
      </c>
      <c r="K137" s="262"/>
    </row>
    <row r="138" spans="2:11" ht="15" customHeight="1" x14ac:dyDescent="0.3">
      <c r="B138" s="260"/>
      <c r="C138" s="222" t="s">
        <v>2481</v>
      </c>
      <c r="D138" s="222"/>
      <c r="E138" s="222"/>
      <c r="F138" s="242" t="s">
        <v>2452</v>
      </c>
      <c r="G138" s="222"/>
      <c r="H138" s="222" t="s">
        <v>2505</v>
      </c>
      <c r="I138" s="222" t="s">
        <v>2483</v>
      </c>
      <c r="J138" s="222"/>
      <c r="K138" s="262"/>
    </row>
    <row r="139" spans="2:11" ht="15" customHeight="1" x14ac:dyDescent="0.3">
      <c r="B139" s="260"/>
      <c r="C139" s="222" t="s">
        <v>2484</v>
      </c>
      <c r="D139" s="222"/>
      <c r="E139" s="222"/>
      <c r="F139" s="242" t="s">
        <v>2452</v>
      </c>
      <c r="G139" s="222"/>
      <c r="H139" s="222" t="s">
        <v>2506</v>
      </c>
      <c r="I139" s="222" t="s">
        <v>2486</v>
      </c>
      <c r="J139" s="222"/>
      <c r="K139" s="262"/>
    </row>
    <row r="140" spans="2:11" ht="15" customHeight="1" x14ac:dyDescent="0.3">
      <c r="B140" s="260"/>
      <c r="C140" s="222" t="s">
        <v>2487</v>
      </c>
      <c r="D140" s="222"/>
      <c r="E140" s="222"/>
      <c r="F140" s="242" t="s">
        <v>2452</v>
      </c>
      <c r="G140" s="222"/>
      <c r="H140" s="222" t="s">
        <v>2487</v>
      </c>
      <c r="I140" s="222" t="s">
        <v>2486</v>
      </c>
      <c r="J140" s="222"/>
      <c r="K140" s="262"/>
    </row>
    <row r="141" spans="2:11" ht="15" customHeight="1" x14ac:dyDescent="0.3">
      <c r="B141" s="260"/>
      <c r="C141" s="222" t="s">
        <v>42</v>
      </c>
      <c r="D141" s="222"/>
      <c r="E141" s="222"/>
      <c r="F141" s="242" t="s">
        <v>2452</v>
      </c>
      <c r="G141" s="222"/>
      <c r="H141" s="222" t="s">
        <v>2507</v>
      </c>
      <c r="I141" s="222" t="s">
        <v>2486</v>
      </c>
      <c r="J141" s="222"/>
      <c r="K141" s="262"/>
    </row>
    <row r="142" spans="2:11" ht="15" customHeight="1" x14ac:dyDescent="0.3">
      <c r="B142" s="260"/>
      <c r="C142" s="222" t="s">
        <v>2508</v>
      </c>
      <c r="D142" s="222"/>
      <c r="E142" s="222"/>
      <c r="F142" s="242" t="s">
        <v>2452</v>
      </c>
      <c r="G142" s="222"/>
      <c r="H142" s="222" t="s">
        <v>2509</v>
      </c>
      <c r="I142" s="222" t="s">
        <v>2486</v>
      </c>
      <c r="J142" s="222"/>
      <c r="K142" s="262"/>
    </row>
    <row r="143" spans="2:11" ht="15" customHeight="1" x14ac:dyDescent="0.3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pans="2:11" ht="18.75" customHeight="1" x14ac:dyDescent="0.3">
      <c r="B144" s="251"/>
      <c r="C144" s="251"/>
      <c r="D144" s="251"/>
      <c r="E144" s="251"/>
      <c r="F144" s="252"/>
      <c r="G144" s="251"/>
      <c r="H144" s="251"/>
      <c r="I144" s="251"/>
      <c r="J144" s="251"/>
      <c r="K144" s="251"/>
    </row>
    <row r="145" spans="2:11" ht="18.75" customHeight="1" x14ac:dyDescent="0.3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pans="2:11" ht="7.5" customHeight="1" x14ac:dyDescent="0.3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pans="2:11" ht="45" customHeight="1" x14ac:dyDescent="0.3">
      <c r="B147" s="232"/>
      <c r="C147" s="329" t="s">
        <v>2510</v>
      </c>
      <c r="D147" s="329"/>
      <c r="E147" s="329"/>
      <c r="F147" s="329"/>
      <c r="G147" s="329"/>
      <c r="H147" s="329"/>
      <c r="I147" s="329"/>
      <c r="J147" s="329"/>
      <c r="K147" s="233"/>
    </row>
    <row r="148" spans="2:11" ht="17.25" customHeight="1" x14ac:dyDescent="0.3">
      <c r="B148" s="232"/>
      <c r="C148" s="234" t="s">
        <v>2446</v>
      </c>
      <c r="D148" s="234"/>
      <c r="E148" s="234"/>
      <c r="F148" s="234" t="s">
        <v>2447</v>
      </c>
      <c r="G148" s="235"/>
      <c r="H148" s="234" t="s">
        <v>170</v>
      </c>
      <c r="I148" s="234" t="s">
        <v>66</v>
      </c>
      <c r="J148" s="234" t="s">
        <v>2448</v>
      </c>
      <c r="K148" s="233"/>
    </row>
    <row r="149" spans="2:11" ht="17.25" customHeight="1" x14ac:dyDescent="0.3">
      <c r="B149" s="232"/>
      <c r="C149" s="236" t="s">
        <v>2449</v>
      </c>
      <c r="D149" s="236"/>
      <c r="E149" s="236"/>
      <c r="F149" s="237" t="s">
        <v>2450</v>
      </c>
      <c r="G149" s="238"/>
      <c r="H149" s="236"/>
      <c r="I149" s="236"/>
      <c r="J149" s="236" t="s">
        <v>2451</v>
      </c>
      <c r="K149" s="233"/>
    </row>
    <row r="150" spans="2:11" ht="5.25" customHeight="1" x14ac:dyDescent="0.3">
      <c r="B150" s="243"/>
      <c r="C150" s="239"/>
      <c r="D150" s="239"/>
      <c r="E150" s="239"/>
      <c r="F150" s="239"/>
      <c r="G150" s="240"/>
      <c r="H150" s="239"/>
      <c r="I150" s="239"/>
      <c r="J150" s="239"/>
      <c r="K150" s="262"/>
    </row>
    <row r="151" spans="2:11" ht="15" customHeight="1" x14ac:dyDescent="0.3">
      <c r="B151" s="243"/>
      <c r="C151" s="266" t="s">
        <v>2455</v>
      </c>
      <c r="D151" s="222"/>
      <c r="E151" s="222"/>
      <c r="F151" s="267" t="s">
        <v>2452</v>
      </c>
      <c r="G151" s="222"/>
      <c r="H151" s="266" t="s">
        <v>2491</v>
      </c>
      <c r="I151" s="266" t="s">
        <v>2454</v>
      </c>
      <c r="J151" s="266">
        <v>120</v>
      </c>
      <c r="K151" s="262"/>
    </row>
    <row r="152" spans="2:11" ht="15" customHeight="1" x14ac:dyDescent="0.3">
      <c r="B152" s="243"/>
      <c r="C152" s="266" t="s">
        <v>2500</v>
      </c>
      <c r="D152" s="222"/>
      <c r="E152" s="222"/>
      <c r="F152" s="267" t="s">
        <v>2452</v>
      </c>
      <c r="G152" s="222"/>
      <c r="H152" s="266" t="s">
        <v>2511</v>
      </c>
      <c r="I152" s="266" t="s">
        <v>2454</v>
      </c>
      <c r="J152" s="266" t="s">
        <v>2502</v>
      </c>
      <c r="K152" s="262"/>
    </row>
    <row r="153" spans="2:11" ht="15" customHeight="1" x14ac:dyDescent="0.3">
      <c r="B153" s="243"/>
      <c r="C153" s="266" t="s">
        <v>2400</v>
      </c>
      <c r="D153" s="222"/>
      <c r="E153" s="222"/>
      <c r="F153" s="267" t="s">
        <v>2452</v>
      </c>
      <c r="G153" s="222"/>
      <c r="H153" s="266" t="s">
        <v>2512</v>
      </c>
      <c r="I153" s="266" t="s">
        <v>2454</v>
      </c>
      <c r="J153" s="266" t="s">
        <v>2502</v>
      </c>
      <c r="K153" s="262"/>
    </row>
    <row r="154" spans="2:11" ht="15" customHeight="1" x14ac:dyDescent="0.3">
      <c r="B154" s="243"/>
      <c r="C154" s="266" t="s">
        <v>2457</v>
      </c>
      <c r="D154" s="222"/>
      <c r="E154" s="222"/>
      <c r="F154" s="267" t="s">
        <v>2458</v>
      </c>
      <c r="G154" s="222"/>
      <c r="H154" s="266" t="s">
        <v>2491</v>
      </c>
      <c r="I154" s="266" t="s">
        <v>2454</v>
      </c>
      <c r="J154" s="266">
        <v>50</v>
      </c>
      <c r="K154" s="262"/>
    </row>
    <row r="155" spans="2:11" ht="15" customHeight="1" x14ac:dyDescent="0.3">
      <c r="B155" s="243"/>
      <c r="C155" s="266" t="s">
        <v>2460</v>
      </c>
      <c r="D155" s="222"/>
      <c r="E155" s="222"/>
      <c r="F155" s="267" t="s">
        <v>2452</v>
      </c>
      <c r="G155" s="222"/>
      <c r="H155" s="266" t="s">
        <v>2491</v>
      </c>
      <c r="I155" s="266" t="s">
        <v>2462</v>
      </c>
      <c r="J155" s="266"/>
      <c r="K155" s="262"/>
    </row>
    <row r="156" spans="2:11" ht="15" customHeight="1" x14ac:dyDescent="0.3">
      <c r="B156" s="243"/>
      <c r="C156" s="266" t="s">
        <v>2471</v>
      </c>
      <c r="D156" s="222"/>
      <c r="E156" s="222"/>
      <c r="F156" s="267" t="s">
        <v>2458</v>
      </c>
      <c r="G156" s="222"/>
      <c r="H156" s="266" t="s">
        <v>2491</v>
      </c>
      <c r="I156" s="266" t="s">
        <v>2454</v>
      </c>
      <c r="J156" s="266">
        <v>50</v>
      </c>
      <c r="K156" s="262"/>
    </row>
    <row r="157" spans="2:11" ht="15" customHeight="1" x14ac:dyDescent="0.3">
      <c r="B157" s="243"/>
      <c r="C157" s="266" t="s">
        <v>55</v>
      </c>
      <c r="D157" s="222"/>
      <c r="E157" s="222"/>
      <c r="F157" s="267" t="s">
        <v>2458</v>
      </c>
      <c r="G157" s="222"/>
      <c r="H157" s="266" t="s">
        <v>2491</v>
      </c>
      <c r="I157" s="266" t="s">
        <v>2454</v>
      </c>
      <c r="J157" s="266">
        <v>50</v>
      </c>
      <c r="K157" s="262"/>
    </row>
    <row r="158" spans="2:11" ht="15" customHeight="1" x14ac:dyDescent="0.3">
      <c r="B158" s="243"/>
      <c r="C158" s="266" t="s">
        <v>2477</v>
      </c>
      <c r="D158" s="222"/>
      <c r="E158" s="222"/>
      <c r="F158" s="267" t="s">
        <v>2458</v>
      </c>
      <c r="G158" s="222"/>
      <c r="H158" s="266" t="s">
        <v>2491</v>
      </c>
      <c r="I158" s="266" t="s">
        <v>2454</v>
      </c>
      <c r="J158" s="266">
        <v>50</v>
      </c>
      <c r="K158" s="262"/>
    </row>
    <row r="159" spans="2:11" ht="15" customHeight="1" x14ac:dyDescent="0.3">
      <c r="B159" s="243"/>
      <c r="C159" s="266" t="s">
        <v>156</v>
      </c>
      <c r="D159" s="222"/>
      <c r="E159" s="222"/>
      <c r="F159" s="267" t="s">
        <v>2452</v>
      </c>
      <c r="G159" s="222"/>
      <c r="H159" s="266" t="s">
        <v>2513</v>
      </c>
      <c r="I159" s="266" t="s">
        <v>2454</v>
      </c>
      <c r="J159" s="266" t="s">
        <v>2514</v>
      </c>
      <c r="K159" s="262"/>
    </row>
    <row r="160" spans="2:11" ht="15" customHeight="1" x14ac:dyDescent="0.3">
      <c r="B160" s="243"/>
      <c r="C160" s="266" t="s">
        <v>2515</v>
      </c>
      <c r="D160" s="222"/>
      <c r="E160" s="222"/>
      <c r="F160" s="267" t="s">
        <v>2452</v>
      </c>
      <c r="G160" s="222"/>
      <c r="H160" s="266" t="s">
        <v>2516</v>
      </c>
      <c r="I160" s="266" t="s">
        <v>2486</v>
      </c>
      <c r="J160" s="266"/>
      <c r="K160" s="262"/>
    </row>
    <row r="161" spans="2:11" ht="15" customHeight="1" x14ac:dyDescent="0.3">
      <c r="B161" s="268"/>
      <c r="C161" s="249"/>
      <c r="D161" s="249"/>
      <c r="E161" s="249"/>
      <c r="F161" s="249"/>
      <c r="G161" s="249"/>
      <c r="H161" s="249"/>
      <c r="I161" s="249"/>
      <c r="J161" s="249"/>
      <c r="K161" s="269"/>
    </row>
    <row r="162" spans="2:11" ht="18.75" customHeight="1" x14ac:dyDescent="0.3">
      <c r="B162" s="251"/>
      <c r="C162" s="240"/>
      <c r="D162" s="240"/>
      <c r="E162" s="240"/>
      <c r="F162" s="270"/>
      <c r="G162" s="240"/>
      <c r="H162" s="240"/>
      <c r="I162" s="240"/>
      <c r="J162" s="240"/>
      <c r="K162" s="251"/>
    </row>
    <row r="163" spans="2:11" ht="18.75" customHeight="1" x14ac:dyDescent="0.3"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</row>
    <row r="164" spans="2:11" ht="7.5" customHeight="1" x14ac:dyDescent="0.3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ht="45" customHeight="1" x14ac:dyDescent="0.3">
      <c r="B165" s="214"/>
      <c r="C165" s="330" t="s">
        <v>2517</v>
      </c>
      <c r="D165" s="330"/>
      <c r="E165" s="330"/>
      <c r="F165" s="330"/>
      <c r="G165" s="330"/>
      <c r="H165" s="330"/>
      <c r="I165" s="330"/>
      <c r="J165" s="330"/>
      <c r="K165" s="215"/>
    </row>
    <row r="166" spans="2:11" ht="17.25" customHeight="1" x14ac:dyDescent="0.3">
      <c r="B166" s="214"/>
      <c r="C166" s="234" t="s">
        <v>2446</v>
      </c>
      <c r="D166" s="234"/>
      <c r="E166" s="234"/>
      <c r="F166" s="234" t="s">
        <v>2447</v>
      </c>
      <c r="G166" s="271"/>
      <c r="H166" s="272" t="s">
        <v>170</v>
      </c>
      <c r="I166" s="272" t="s">
        <v>66</v>
      </c>
      <c r="J166" s="234" t="s">
        <v>2448</v>
      </c>
      <c r="K166" s="215"/>
    </row>
    <row r="167" spans="2:11" ht="17.25" customHeight="1" x14ac:dyDescent="0.3">
      <c r="B167" s="216"/>
      <c r="C167" s="236" t="s">
        <v>2449</v>
      </c>
      <c r="D167" s="236"/>
      <c r="E167" s="236"/>
      <c r="F167" s="237" t="s">
        <v>2450</v>
      </c>
      <c r="G167" s="273"/>
      <c r="H167" s="274"/>
      <c r="I167" s="274"/>
      <c r="J167" s="236" t="s">
        <v>2451</v>
      </c>
      <c r="K167" s="217"/>
    </row>
    <row r="168" spans="2:11" ht="5.25" customHeight="1" x14ac:dyDescent="0.3">
      <c r="B168" s="243"/>
      <c r="C168" s="239"/>
      <c r="D168" s="239"/>
      <c r="E168" s="239"/>
      <c r="F168" s="239"/>
      <c r="G168" s="240"/>
      <c r="H168" s="239"/>
      <c r="I168" s="239"/>
      <c r="J168" s="239"/>
      <c r="K168" s="262"/>
    </row>
    <row r="169" spans="2:11" ht="15" customHeight="1" x14ac:dyDescent="0.3">
      <c r="B169" s="243"/>
      <c r="C169" s="222" t="s">
        <v>2455</v>
      </c>
      <c r="D169" s="222"/>
      <c r="E169" s="222"/>
      <c r="F169" s="242" t="s">
        <v>2452</v>
      </c>
      <c r="G169" s="222"/>
      <c r="H169" s="222" t="s">
        <v>2491</v>
      </c>
      <c r="I169" s="222" t="s">
        <v>2454</v>
      </c>
      <c r="J169" s="222">
        <v>120</v>
      </c>
      <c r="K169" s="262"/>
    </row>
    <row r="170" spans="2:11" ht="15" customHeight="1" x14ac:dyDescent="0.3">
      <c r="B170" s="243"/>
      <c r="C170" s="222" t="s">
        <v>2500</v>
      </c>
      <c r="D170" s="222"/>
      <c r="E170" s="222"/>
      <c r="F170" s="242" t="s">
        <v>2452</v>
      </c>
      <c r="G170" s="222"/>
      <c r="H170" s="222" t="s">
        <v>2501</v>
      </c>
      <c r="I170" s="222" t="s">
        <v>2454</v>
      </c>
      <c r="J170" s="222" t="s">
        <v>2502</v>
      </c>
      <c r="K170" s="262"/>
    </row>
    <row r="171" spans="2:11" ht="15" customHeight="1" x14ac:dyDescent="0.3">
      <c r="B171" s="243"/>
      <c r="C171" s="222" t="s">
        <v>2400</v>
      </c>
      <c r="D171" s="222"/>
      <c r="E171" s="222"/>
      <c r="F171" s="242" t="s">
        <v>2452</v>
      </c>
      <c r="G171" s="222"/>
      <c r="H171" s="222" t="s">
        <v>2518</v>
      </c>
      <c r="I171" s="222" t="s">
        <v>2454</v>
      </c>
      <c r="J171" s="222" t="s">
        <v>2502</v>
      </c>
      <c r="K171" s="262"/>
    </row>
    <row r="172" spans="2:11" ht="15" customHeight="1" x14ac:dyDescent="0.3">
      <c r="B172" s="243"/>
      <c r="C172" s="222" t="s">
        <v>2457</v>
      </c>
      <c r="D172" s="222"/>
      <c r="E172" s="222"/>
      <c r="F172" s="242" t="s">
        <v>2458</v>
      </c>
      <c r="G172" s="222"/>
      <c r="H172" s="222" t="s">
        <v>2518</v>
      </c>
      <c r="I172" s="222" t="s">
        <v>2454</v>
      </c>
      <c r="J172" s="222">
        <v>50</v>
      </c>
      <c r="K172" s="262"/>
    </row>
    <row r="173" spans="2:11" ht="15" customHeight="1" x14ac:dyDescent="0.3">
      <c r="B173" s="243"/>
      <c r="C173" s="222" t="s">
        <v>2460</v>
      </c>
      <c r="D173" s="222"/>
      <c r="E173" s="222"/>
      <c r="F173" s="242" t="s">
        <v>2452</v>
      </c>
      <c r="G173" s="222"/>
      <c r="H173" s="222" t="s">
        <v>2518</v>
      </c>
      <c r="I173" s="222" t="s">
        <v>2462</v>
      </c>
      <c r="J173" s="222"/>
      <c r="K173" s="262"/>
    </row>
    <row r="174" spans="2:11" ht="15" customHeight="1" x14ac:dyDescent="0.3">
      <c r="B174" s="243"/>
      <c r="C174" s="222" t="s">
        <v>2471</v>
      </c>
      <c r="D174" s="222"/>
      <c r="E174" s="222"/>
      <c r="F174" s="242" t="s">
        <v>2458</v>
      </c>
      <c r="G174" s="222"/>
      <c r="H174" s="222" t="s">
        <v>2518</v>
      </c>
      <c r="I174" s="222" t="s">
        <v>2454</v>
      </c>
      <c r="J174" s="222">
        <v>50</v>
      </c>
      <c r="K174" s="262"/>
    </row>
    <row r="175" spans="2:11" ht="15" customHeight="1" x14ac:dyDescent="0.3">
      <c r="B175" s="243"/>
      <c r="C175" s="222" t="s">
        <v>55</v>
      </c>
      <c r="D175" s="222"/>
      <c r="E175" s="222"/>
      <c r="F175" s="242" t="s">
        <v>2458</v>
      </c>
      <c r="G175" s="222"/>
      <c r="H175" s="222" t="s">
        <v>2518</v>
      </c>
      <c r="I175" s="222" t="s">
        <v>2454</v>
      </c>
      <c r="J175" s="222">
        <v>50</v>
      </c>
      <c r="K175" s="262"/>
    </row>
    <row r="176" spans="2:11" ht="15" customHeight="1" x14ac:dyDescent="0.3">
      <c r="B176" s="243"/>
      <c r="C176" s="222" t="s">
        <v>2477</v>
      </c>
      <c r="D176" s="222"/>
      <c r="E176" s="222"/>
      <c r="F176" s="242" t="s">
        <v>2458</v>
      </c>
      <c r="G176" s="222"/>
      <c r="H176" s="222" t="s">
        <v>2518</v>
      </c>
      <c r="I176" s="222" t="s">
        <v>2454</v>
      </c>
      <c r="J176" s="222">
        <v>50</v>
      </c>
      <c r="K176" s="262"/>
    </row>
    <row r="177" spans="2:11" ht="15" customHeight="1" x14ac:dyDescent="0.3">
      <c r="B177" s="243"/>
      <c r="C177" s="222" t="s">
        <v>169</v>
      </c>
      <c r="D177" s="222"/>
      <c r="E177" s="222"/>
      <c r="F177" s="242" t="s">
        <v>2452</v>
      </c>
      <c r="G177" s="222"/>
      <c r="H177" s="222" t="s">
        <v>2519</v>
      </c>
      <c r="I177" s="222" t="s">
        <v>2520</v>
      </c>
      <c r="J177" s="222"/>
      <c r="K177" s="262"/>
    </row>
    <row r="178" spans="2:11" ht="15" customHeight="1" x14ac:dyDescent="0.3">
      <c r="B178" s="243"/>
      <c r="C178" s="222" t="s">
        <v>66</v>
      </c>
      <c r="D178" s="222"/>
      <c r="E178" s="222"/>
      <c r="F178" s="242" t="s">
        <v>2452</v>
      </c>
      <c r="G178" s="222"/>
      <c r="H178" s="222" t="s">
        <v>2521</v>
      </c>
      <c r="I178" s="222" t="s">
        <v>2522</v>
      </c>
      <c r="J178" s="222">
        <v>1</v>
      </c>
      <c r="K178" s="262"/>
    </row>
    <row r="179" spans="2:11" ht="15" customHeight="1" x14ac:dyDescent="0.3">
      <c r="B179" s="243"/>
      <c r="C179" s="222" t="s">
        <v>63</v>
      </c>
      <c r="D179" s="222"/>
      <c r="E179" s="222"/>
      <c r="F179" s="242" t="s">
        <v>2452</v>
      </c>
      <c r="G179" s="222"/>
      <c r="H179" s="222" t="s">
        <v>2523</v>
      </c>
      <c r="I179" s="222" t="s">
        <v>2454</v>
      </c>
      <c r="J179" s="222">
        <v>20</v>
      </c>
      <c r="K179" s="262"/>
    </row>
    <row r="180" spans="2:11" ht="15" customHeight="1" x14ac:dyDescent="0.3">
      <c r="B180" s="243"/>
      <c r="C180" s="222" t="s">
        <v>170</v>
      </c>
      <c r="D180" s="222"/>
      <c r="E180" s="222"/>
      <c r="F180" s="242" t="s">
        <v>2452</v>
      </c>
      <c r="G180" s="222"/>
      <c r="H180" s="222" t="s">
        <v>2524</v>
      </c>
      <c r="I180" s="222" t="s">
        <v>2454</v>
      </c>
      <c r="J180" s="222">
        <v>255</v>
      </c>
      <c r="K180" s="262"/>
    </row>
    <row r="181" spans="2:11" ht="15" customHeight="1" x14ac:dyDescent="0.3">
      <c r="B181" s="243"/>
      <c r="C181" s="222" t="s">
        <v>171</v>
      </c>
      <c r="D181" s="222"/>
      <c r="E181" s="222"/>
      <c r="F181" s="242" t="s">
        <v>2452</v>
      </c>
      <c r="G181" s="222"/>
      <c r="H181" s="222" t="s">
        <v>2416</v>
      </c>
      <c r="I181" s="222" t="s">
        <v>2454</v>
      </c>
      <c r="J181" s="222">
        <v>10</v>
      </c>
      <c r="K181" s="262"/>
    </row>
    <row r="182" spans="2:11" ht="15" customHeight="1" x14ac:dyDescent="0.3">
      <c r="B182" s="243"/>
      <c r="C182" s="222" t="s">
        <v>172</v>
      </c>
      <c r="D182" s="222"/>
      <c r="E182" s="222"/>
      <c r="F182" s="242" t="s">
        <v>2452</v>
      </c>
      <c r="G182" s="222"/>
      <c r="H182" s="222" t="s">
        <v>2525</v>
      </c>
      <c r="I182" s="222" t="s">
        <v>2486</v>
      </c>
      <c r="J182" s="222"/>
      <c r="K182" s="262"/>
    </row>
    <row r="183" spans="2:11" ht="15" customHeight="1" x14ac:dyDescent="0.3">
      <c r="B183" s="243"/>
      <c r="C183" s="222" t="s">
        <v>2526</v>
      </c>
      <c r="D183" s="222"/>
      <c r="E183" s="222"/>
      <c r="F183" s="242" t="s">
        <v>2452</v>
      </c>
      <c r="G183" s="222"/>
      <c r="H183" s="222" t="s">
        <v>2527</v>
      </c>
      <c r="I183" s="222" t="s">
        <v>2486</v>
      </c>
      <c r="J183" s="222"/>
      <c r="K183" s="262"/>
    </row>
    <row r="184" spans="2:11" ht="15" customHeight="1" x14ac:dyDescent="0.3">
      <c r="B184" s="243"/>
      <c r="C184" s="222" t="s">
        <v>2515</v>
      </c>
      <c r="D184" s="222"/>
      <c r="E184" s="222"/>
      <c r="F184" s="242" t="s">
        <v>2452</v>
      </c>
      <c r="G184" s="222"/>
      <c r="H184" s="222" t="s">
        <v>2528</v>
      </c>
      <c r="I184" s="222" t="s">
        <v>2486</v>
      </c>
      <c r="J184" s="222"/>
      <c r="K184" s="262"/>
    </row>
    <row r="185" spans="2:11" ht="15" customHeight="1" x14ac:dyDescent="0.3">
      <c r="B185" s="243"/>
      <c r="C185" s="222" t="s">
        <v>174</v>
      </c>
      <c r="D185" s="222"/>
      <c r="E185" s="222"/>
      <c r="F185" s="242" t="s">
        <v>2458</v>
      </c>
      <c r="G185" s="222"/>
      <c r="H185" s="222" t="s">
        <v>2529</v>
      </c>
      <c r="I185" s="222" t="s">
        <v>2454</v>
      </c>
      <c r="J185" s="222">
        <v>50</v>
      </c>
      <c r="K185" s="262"/>
    </row>
    <row r="186" spans="2:11" ht="15" customHeight="1" x14ac:dyDescent="0.3">
      <c r="B186" s="243"/>
      <c r="C186" s="222" t="s">
        <v>2530</v>
      </c>
      <c r="D186" s="222"/>
      <c r="E186" s="222"/>
      <c r="F186" s="242" t="s">
        <v>2458</v>
      </c>
      <c r="G186" s="222"/>
      <c r="H186" s="222" t="s">
        <v>2531</v>
      </c>
      <c r="I186" s="222" t="s">
        <v>2532</v>
      </c>
      <c r="J186" s="222"/>
      <c r="K186" s="262"/>
    </row>
    <row r="187" spans="2:11" ht="15" customHeight="1" x14ac:dyDescent="0.3">
      <c r="B187" s="243"/>
      <c r="C187" s="222" t="s">
        <v>2533</v>
      </c>
      <c r="D187" s="222"/>
      <c r="E187" s="222"/>
      <c r="F187" s="242" t="s">
        <v>2458</v>
      </c>
      <c r="G187" s="222"/>
      <c r="H187" s="222" t="s">
        <v>2534</v>
      </c>
      <c r="I187" s="222" t="s">
        <v>2532</v>
      </c>
      <c r="J187" s="222"/>
      <c r="K187" s="262"/>
    </row>
    <row r="188" spans="2:11" ht="15" customHeight="1" x14ac:dyDescent="0.3">
      <c r="B188" s="243"/>
      <c r="C188" s="222" t="s">
        <v>2535</v>
      </c>
      <c r="D188" s="222"/>
      <c r="E188" s="222"/>
      <c r="F188" s="242" t="s">
        <v>2458</v>
      </c>
      <c r="G188" s="222"/>
      <c r="H188" s="222" t="s">
        <v>2536</v>
      </c>
      <c r="I188" s="222" t="s">
        <v>2532</v>
      </c>
      <c r="J188" s="222"/>
      <c r="K188" s="262"/>
    </row>
    <row r="189" spans="2:11" ht="15" customHeight="1" x14ac:dyDescent="0.3">
      <c r="B189" s="243"/>
      <c r="C189" s="275" t="s">
        <v>2537</v>
      </c>
      <c r="D189" s="222"/>
      <c r="E189" s="222"/>
      <c r="F189" s="242" t="s">
        <v>2458</v>
      </c>
      <c r="G189" s="222"/>
      <c r="H189" s="222" t="s">
        <v>2538</v>
      </c>
      <c r="I189" s="222" t="s">
        <v>2539</v>
      </c>
      <c r="J189" s="276" t="s">
        <v>2540</v>
      </c>
      <c r="K189" s="262"/>
    </row>
    <row r="190" spans="2:11" ht="15" customHeight="1" x14ac:dyDescent="0.3">
      <c r="B190" s="243"/>
      <c r="C190" s="275" t="s">
        <v>46</v>
      </c>
      <c r="D190" s="222"/>
      <c r="E190" s="222"/>
      <c r="F190" s="242" t="s">
        <v>2452</v>
      </c>
      <c r="G190" s="222"/>
      <c r="H190" s="219" t="s">
        <v>2541</v>
      </c>
      <c r="I190" s="222" t="s">
        <v>2542</v>
      </c>
      <c r="J190" s="222"/>
      <c r="K190" s="262"/>
    </row>
    <row r="191" spans="2:11" ht="15" customHeight="1" x14ac:dyDescent="0.3">
      <c r="B191" s="243"/>
      <c r="C191" s="275" t="s">
        <v>2543</v>
      </c>
      <c r="D191" s="222"/>
      <c r="E191" s="222"/>
      <c r="F191" s="242" t="s">
        <v>2452</v>
      </c>
      <c r="G191" s="222"/>
      <c r="H191" s="222" t="s">
        <v>2544</v>
      </c>
      <c r="I191" s="222" t="s">
        <v>2486</v>
      </c>
      <c r="J191" s="222"/>
      <c r="K191" s="262"/>
    </row>
    <row r="192" spans="2:11" ht="15" customHeight="1" x14ac:dyDescent="0.3">
      <c r="B192" s="243"/>
      <c r="C192" s="275" t="s">
        <v>2545</v>
      </c>
      <c r="D192" s="222"/>
      <c r="E192" s="222"/>
      <c r="F192" s="242" t="s">
        <v>2452</v>
      </c>
      <c r="G192" s="222"/>
      <c r="H192" s="222" t="s">
        <v>2546</v>
      </c>
      <c r="I192" s="222" t="s">
        <v>2486</v>
      </c>
      <c r="J192" s="222"/>
      <c r="K192" s="262"/>
    </row>
    <row r="193" spans="2:11" ht="15" customHeight="1" x14ac:dyDescent="0.3">
      <c r="B193" s="243"/>
      <c r="C193" s="275" t="s">
        <v>2547</v>
      </c>
      <c r="D193" s="222"/>
      <c r="E193" s="222"/>
      <c r="F193" s="242" t="s">
        <v>2458</v>
      </c>
      <c r="G193" s="222"/>
      <c r="H193" s="222" t="s">
        <v>2548</v>
      </c>
      <c r="I193" s="222" t="s">
        <v>2486</v>
      </c>
      <c r="J193" s="222"/>
      <c r="K193" s="262"/>
    </row>
    <row r="194" spans="2:11" ht="15" customHeight="1" x14ac:dyDescent="0.3">
      <c r="B194" s="268"/>
      <c r="C194" s="277"/>
      <c r="D194" s="249"/>
      <c r="E194" s="249"/>
      <c r="F194" s="249"/>
      <c r="G194" s="249"/>
      <c r="H194" s="249"/>
      <c r="I194" s="249"/>
      <c r="J194" s="249"/>
      <c r="K194" s="269"/>
    </row>
    <row r="195" spans="2:11" ht="18.75" customHeight="1" x14ac:dyDescent="0.3">
      <c r="B195" s="251"/>
      <c r="C195" s="240"/>
      <c r="D195" s="240"/>
      <c r="E195" s="240"/>
      <c r="F195" s="270"/>
      <c r="G195" s="240"/>
      <c r="H195" s="240"/>
      <c r="I195" s="240"/>
      <c r="J195" s="240"/>
      <c r="K195" s="251"/>
    </row>
    <row r="196" spans="2:11" ht="18.75" customHeight="1" x14ac:dyDescent="0.3">
      <c r="B196" s="251"/>
      <c r="C196" s="240"/>
      <c r="D196" s="240"/>
      <c r="E196" s="240"/>
      <c r="F196" s="270"/>
      <c r="G196" s="240"/>
      <c r="H196" s="240"/>
      <c r="I196" s="240"/>
      <c r="J196" s="240"/>
      <c r="K196" s="251"/>
    </row>
    <row r="197" spans="2:11" ht="18.75" customHeight="1" x14ac:dyDescent="0.3">
      <c r="B197" s="228"/>
      <c r="C197" s="228"/>
      <c r="D197" s="228"/>
      <c r="E197" s="228"/>
      <c r="F197" s="228"/>
      <c r="G197" s="228"/>
      <c r="H197" s="228"/>
      <c r="I197" s="228"/>
      <c r="J197" s="228"/>
      <c r="K197" s="228"/>
    </row>
    <row r="198" spans="2:11" x14ac:dyDescent="0.3">
      <c r="B198" s="211"/>
      <c r="C198" s="212"/>
      <c r="D198" s="212"/>
      <c r="E198" s="212"/>
      <c r="F198" s="212"/>
      <c r="G198" s="212"/>
      <c r="H198" s="212"/>
      <c r="I198" s="212"/>
      <c r="J198" s="212"/>
      <c r="K198" s="213"/>
    </row>
    <row r="199" spans="2:11" ht="21" x14ac:dyDescent="0.3">
      <c r="B199" s="214"/>
      <c r="C199" s="330" t="s">
        <v>2549</v>
      </c>
      <c r="D199" s="330"/>
      <c r="E199" s="330"/>
      <c r="F199" s="330"/>
      <c r="G199" s="330"/>
      <c r="H199" s="330"/>
      <c r="I199" s="330"/>
      <c r="J199" s="330"/>
      <c r="K199" s="215"/>
    </row>
    <row r="200" spans="2:11" ht="25.5" customHeight="1" x14ac:dyDescent="0.3">
      <c r="B200" s="214"/>
      <c r="C200" s="278" t="s">
        <v>2550</v>
      </c>
      <c r="D200" s="278"/>
      <c r="E200" s="278"/>
      <c r="F200" s="278" t="s">
        <v>2551</v>
      </c>
      <c r="G200" s="279"/>
      <c r="H200" s="331" t="s">
        <v>2552</v>
      </c>
      <c r="I200" s="331"/>
      <c r="J200" s="331"/>
      <c r="K200" s="215"/>
    </row>
    <row r="201" spans="2:11" ht="5.25" customHeight="1" x14ac:dyDescent="0.3">
      <c r="B201" s="243"/>
      <c r="C201" s="239"/>
      <c r="D201" s="239"/>
      <c r="E201" s="239"/>
      <c r="F201" s="239"/>
      <c r="G201" s="240"/>
      <c r="H201" s="239"/>
      <c r="I201" s="239"/>
      <c r="J201" s="239"/>
      <c r="K201" s="262"/>
    </row>
    <row r="202" spans="2:11" ht="15" customHeight="1" x14ac:dyDescent="0.3">
      <c r="B202" s="243"/>
      <c r="C202" s="222" t="s">
        <v>2542</v>
      </c>
      <c r="D202" s="222"/>
      <c r="E202" s="222"/>
      <c r="F202" s="242" t="s">
        <v>47</v>
      </c>
      <c r="G202" s="222"/>
      <c r="H202" s="332" t="s">
        <v>2553</v>
      </c>
      <c r="I202" s="332"/>
      <c r="J202" s="332"/>
      <c r="K202" s="262"/>
    </row>
    <row r="203" spans="2:11" ht="15" customHeight="1" x14ac:dyDescent="0.3">
      <c r="B203" s="243"/>
      <c r="C203" s="222"/>
      <c r="D203" s="222"/>
      <c r="E203" s="222"/>
      <c r="F203" s="242" t="s">
        <v>48</v>
      </c>
      <c r="G203" s="222"/>
      <c r="H203" s="332" t="s">
        <v>2554</v>
      </c>
      <c r="I203" s="332"/>
      <c r="J203" s="332"/>
      <c r="K203" s="262"/>
    </row>
    <row r="204" spans="2:11" ht="15" customHeight="1" x14ac:dyDescent="0.3">
      <c r="B204" s="243"/>
      <c r="C204" s="222"/>
      <c r="D204" s="222"/>
      <c r="E204" s="222"/>
      <c r="F204" s="242" t="s">
        <v>51</v>
      </c>
      <c r="G204" s="222"/>
      <c r="H204" s="332" t="s">
        <v>2555</v>
      </c>
      <c r="I204" s="332"/>
      <c r="J204" s="332"/>
      <c r="K204" s="262"/>
    </row>
    <row r="205" spans="2:11" ht="15" customHeight="1" x14ac:dyDescent="0.3">
      <c r="B205" s="243"/>
      <c r="C205" s="222"/>
      <c r="D205" s="222"/>
      <c r="E205" s="222"/>
      <c r="F205" s="242" t="s">
        <v>49</v>
      </c>
      <c r="G205" s="222"/>
      <c r="H205" s="332" t="s">
        <v>2556</v>
      </c>
      <c r="I205" s="332"/>
      <c r="J205" s="332"/>
      <c r="K205" s="262"/>
    </row>
    <row r="206" spans="2:11" ht="15" customHeight="1" x14ac:dyDescent="0.3">
      <c r="B206" s="243"/>
      <c r="C206" s="222"/>
      <c r="D206" s="222"/>
      <c r="E206" s="222"/>
      <c r="F206" s="242" t="s">
        <v>50</v>
      </c>
      <c r="G206" s="222"/>
      <c r="H206" s="332" t="s">
        <v>2557</v>
      </c>
      <c r="I206" s="332"/>
      <c r="J206" s="332"/>
      <c r="K206" s="262"/>
    </row>
    <row r="207" spans="2:11" ht="15" customHeight="1" x14ac:dyDescent="0.3">
      <c r="B207" s="243"/>
      <c r="C207" s="222"/>
      <c r="D207" s="222"/>
      <c r="E207" s="222"/>
      <c r="F207" s="242"/>
      <c r="G207" s="222"/>
      <c r="H207" s="222"/>
      <c r="I207" s="222"/>
      <c r="J207" s="222"/>
      <c r="K207" s="262"/>
    </row>
    <row r="208" spans="2:11" ht="15" customHeight="1" x14ac:dyDescent="0.3">
      <c r="B208" s="243"/>
      <c r="C208" s="222" t="s">
        <v>2498</v>
      </c>
      <c r="D208" s="222"/>
      <c r="E208" s="222"/>
      <c r="F208" s="242" t="s">
        <v>87</v>
      </c>
      <c r="G208" s="222"/>
      <c r="H208" s="332" t="s">
        <v>2558</v>
      </c>
      <c r="I208" s="332"/>
      <c r="J208" s="332"/>
      <c r="K208" s="262"/>
    </row>
    <row r="209" spans="2:11" ht="15" customHeight="1" x14ac:dyDescent="0.3">
      <c r="B209" s="243"/>
      <c r="C209" s="222"/>
      <c r="D209" s="222"/>
      <c r="E209" s="222"/>
      <c r="F209" s="242" t="s">
        <v>2395</v>
      </c>
      <c r="G209" s="222"/>
      <c r="H209" s="332" t="s">
        <v>2396</v>
      </c>
      <c r="I209" s="332"/>
      <c r="J209" s="332"/>
      <c r="K209" s="262"/>
    </row>
    <row r="210" spans="2:11" ht="15" customHeight="1" x14ac:dyDescent="0.3">
      <c r="B210" s="243"/>
      <c r="C210" s="222"/>
      <c r="D210" s="222"/>
      <c r="E210" s="222"/>
      <c r="F210" s="242" t="s">
        <v>2393</v>
      </c>
      <c r="G210" s="222"/>
      <c r="H210" s="332" t="s">
        <v>2559</v>
      </c>
      <c r="I210" s="332"/>
      <c r="J210" s="332"/>
      <c r="K210" s="262"/>
    </row>
    <row r="211" spans="2:11" ht="15" customHeight="1" x14ac:dyDescent="0.3">
      <c r="B211" s="280"/>
      <c r="C211" s="222"/>
      <c r="D211" s="222"/>
      <c r="E211" s="222"/>
      <c r="F211" s="242" t="s">
        <v>147</v>
      </c>
      <c r="G211" s="275"/>
      <c r="H211" s="333" t="s">
        <v>2397</v>
      </c>
      <c r="I211" s="333"/>
      <c r="J211" s="333"/>
      <c r="K211" s="281"/>
    </row>
    <row r="212" spans="2:11" ht="15" customHeight="1" x14ac:dyDescent="0.3">
      <c r="B212" s="280"/>
      <c r="C212" s="222"/>
      <c r="D212" s="222"/>
      <c r="E212" s="222"/>
      <c r="F212" s="242" t="s">
        <v>2398</v>
      </c>
      <c r="G212" s="275"/>
      <c r="H212" s="333" t="s">
        <v>2363</v>
      </c>
      <c r="I212" s="333"/>
      <c r="J212" s="333"/>
      <c r="K212" s="281"/>
    </row>
    <row r="213" spans="2:11" ht="15" customHeight="1" x14ac:dyDescent="0.3">
      <c r="B213" s="280"/>
      <c r="C213" s="222"/>
      <c r="D213" s="222"/>
      <c r="E213" s="222"/>
      <c r="F213" s="242"/>
      <c r="G213" s="275"/>
      <c r="H213" s="266"/>
      <c r="I213" s="266"/>
      <c r="J213" s="266"/>
      <c r="K213" s="281"/>
    </row>
    <row r="214" spans="2:11" ht="15" customHeight="1" x14ac:dyDescent="0.3">
      <c r="B214" s="280"/>
      <c r="C214" s="222" t="s">
        <v>2522</v>
      </c>
      <c r="D214" s="222"/>
      <c r="E214" s="222"/>
      <c r="F214" s="242">
        <v>1</v>
      </c>
      <c r="G214" s="275"/>
      <c r="H214" s="333" t="s">
        <v>2560</v>
      </c>
      <c r="I214" s="333"/>
      <c r="J214" s="333"/>
      <c r="K214" s="281"/>
    </row>
    <row r="215" spans="2:11" ht="15" customHeight="1" x14ac:dyDescent="0.3">
      <c r="B215" s="280"/>
      <c r="C215" s="222"/>
      <c r="D215" s="222"/>
      <c r="E215" s="222"/>
      <c r="F215" s="242">
        <v>2</v>
      </c>
      <c r="G215" s="275"/>
      <c r="H215" s="333" t="s">
        <v>2561</v>
      </c>
      <c r="I215" s="333"/>
      <c r="J215" s="333"/>
      <c r="K215" s="281"/>
    </row>
    <row r="216" spans="2:11" ht="15" customHeight="1" x14ac:dyDescent="0.3">
      <c r="B216" s="280"/>
      <c r="C216" s="222"/>
      <c r="D216" s="222"/>
      <c r="E216" s="222"/>
      <c r="F216" s="242">
        <v>3</v>
      </c>
      <c r="G216" s="275"/>
      <c r="H216" s="333" t="s">
        <v>2562</v>
      </c>
      <c r="I216" s="333"/>
      <c r="J216" s="333"/>
      <c r="K216" s="281"/>
    </row>
    <row r="217" spans="2:11" ht="15" customHeight="1" x14ac:dyDescent="0.3">
      <c r="B217" s="280"/>
      <c r="C217" s="222"/>
      <c r="D217" s="222"/>
      <c r="E217" s="222"/>
      <c r="F217" s="242">
        <v>4</v>
      </c>
      <c r="G217" s="275"/>
      <c r="H217" s="333" t="s">
        <v>2563</v>
      </c>
      <c r="I217" s="333"/>
      <c r="J217" s="333"/>
      <c r="K217" s="281"/>
    </row>
    <row r="218" spans="2:11" ht="12.75" customHeight="1" x14ac:dyDescent="0.3">
      <c r="B218" s="282"/>
      <c r="C218" s="283"/>
      <c r="D218" s="283"/>
      <c r="E218" s="283"/>
      <c r="F218" s="283"/>
      <c r="G218" s="283"/>
      <c r="H218" s="283"/>
      <c r="I218" s="283"/>
      <c r="J218" s="283"/>
      <c r="K218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G43:J43"/>
    <mergeCell ref="G44:J44"/>
    <mergeCell ref="G45:J45"/>
    <mergeCell ref="G37:J37"/>
    <mergeCell ref="G38:J38"/>
    <mergeCell ref="G39:J39"/>
    <mergeCell ref="G40:J40"/>
    <mergeCell ref="G41:J41"/>
    <mergeCell ref="G42:J42"/>
    <mergeCell ref="D30:J30"/>
    <mergeCell ref="D31:J31"/>
    <mergeCell ref="D33:J33"/>
    <mergeCell ref="D34:J34"/>
    <mergeCell ref="D35:J35"/>
    <mergeCell ref="G36:J36"/>
    <mergeCell ref="F22:J22"/>
    <mergeCell ref="F23:J23"/>
    <mergeCell ref="C25:J25"/>
    <mergeCell ref="C26:J26"/>
    <mergeCell ref="D27:J27"/>
    <mergeCell ref="D28:J28"/>
    <mergeCell ref="D16:J16"/>
    <mergeCell ref="D17:J17"/>
    <mergeCell ref="F18:J18"/>
    <mergeCell ref="F19:J19"/>
    <mergeCell ref="F20:J20"/>
    <mergeCell ref="F21:J21"/>
    <mergeCell ref="D70:J70"/>
    <mergeCell ref="C75:J75"/>
    <mergeCell ref="C3:J3"/>
    <mergeCell ref="C4:J4"/>
    <mergeCell ref="C6:J6"/>
    <mergeCell ref="C7:J7"/>
    <mergeCell ref="C9:J9"/>
    <mergeCell ref="D10:J10"/>
    <mergeCell ref="D11:J11"/>
    <mergeCell ref="D15:J15"/>
    <mergeCell ref="D63:J63"/>
    <mergeCell ref="D65:J65"/>
    <mergeCell ref="D66:J66"/>
    <mergeCell ref="D67:J67"/>
    <mergeCell ref="D68:J68"/>
    <mergeCell ref="D69:J69"/>
    <mergeCell ref="C57:J57"/>
    <mergeCell ref="D58:J58"/>
    <mergeCell ref="D59:J59"/>
    <mergeCell ref="D60:J60"/>
    <mergeCell ref="D61:J61"/>
    <mergeCell ref="D62:J62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H209:J209"/>
    <mergeCell ref="H210:J210"/>
    <mergeCell ref="H211:J211"/>
    <mergeCell ref="H212:J212"/>
    <mergeCell ref="H214:J214"/>
    <mergeCell ref="H215:J215"/>
    <mergeCell ref="H202:J202"/>
    <mergeCell ref="H203:J203"/>
    <mergeCell ref="H204:J204"/>
    <mergeCell ref="H205:J205"/>
    <mergeCell ref="H206:J206"/>
    <mergeCell ref="H208:J208"/>
    <mergeCell ref="C102:J102"/>
    <mergeCell ref="C122:J122"/>
    <mergeCell ref="C147:J147"/>
    <mergeCell ref="C165:J165"/>
    <mergeCell ref="C199:J199"/>
    <mergeCell ref="H200:J200"/>
  </mergeCells>
  <pageMargins left="0.69999998807907104" right="0.69999998807907104" top="0.78750002384185791" bottom="0.78750002384185791" header="0.30000001192092896" footer="0.30000001192092896"/>
  <pageSetup errors="blank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C670-FBC2-4713-BACA-52FB1D24839C}">
  <sheetPr>
    <tabColor indexed="44"/>
    <pageSetUpPr fitToPage="1"/>
  </sheetPr>
  <dimension ref="B2:BM201"/>
  <sheetViews>
    <sheetView showGridLines="0" zoomScaleNormal="100" workbookViewId="0">
      <selection activeCell="I125" sqref="I125:I201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92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396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154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ROUND(J122, 2)</f>
        <v>343457.6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ROUND((SUM(BE122:BE200)),  2)</f>
        <v>343457.6</v>
      </c>
      <c r="I33" s="99">
        <v>0.21</v>
      </c>
      <c r="J33" s="98">
        <f>ROUND(((SUM(BE122:BE200))*I33),  2)</f>
        <v>72126.100000000006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ROUND((SUM(BF122:BF200)),  2)</f>
        <v>0</v>
      </c>
      <c r="I34" s="99">
        <v>0.15</v>
      </c>
      <c r="J34" s="98">
        <f>ROUND(((SUM(BF122:BF200))*I34),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ROUND((SUM(BG122:BG200)),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ROUND((SUM(BH122:BH200)),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ROUND((SUM(BI122:BI200)),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415583.69999999995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103.I - Parkovací stání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J122</f>
        <v>343457.59999999992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160</v>
      </c>
      <c r="E97" s="113"/>
      <c r="F97" s="113"/>
      <c r="G97" s="113"/>
      <c r="H97" s="113"/>
      <c r="I97" s="113"/>
      <c r="J97" s="114">
        <f>J123</f>
        <v>343457.59999999992</v>
      </c>
      <c r="L97" s="111"/>
    </row>
    <row r="98" spans="2:12" s="9" customFormat="1" ht="19.899999999999999" customHeight="1" x14ac:dyDescent="0.3">
      <c r="B98" s="115"/>
      <c r="D98" s="116" t="s">
        <v>161</v>
      </c>
      <c r="E98" s="117"/>
      <c r="F98" s="117"/>
      <c r="G98" s="117"/>
      <c r="H98" s="117"/>
      <c r="I98" s="117"/>
      <c r="J98" s="118">
        <f>J124</f>
        <v>59244.549999999996</v>
      </c>
      <c r="L98" s="115"/>
    </row>
    <row r="99" spans="2:12" s="9" customFormat="1" ht="19.899999999999999" customHeight="1" x14ac:dyDescent="0.3">
      <c r="B99" s="115"/>
      <c r="D99" s="116" t="s">
        <v>162</v>
      </c>
      <c r="E99" s="117"/>
      <c r="F99" s="117"/>
      <c r="G99" s="117"/>
      <c r="H99" s="117"/>
      <c r="I99" s="117"/>
      <c r="J99" s="118">
        <f>J148</f>
        <v>188182.24</v>
      </c>
      <c r="L99" s="115"/>
    </row>
    <row r="100" spans="2:12" s="9" customFormat="1" ht="19.899999999999999" customHeight="1" x14ac:dyDescent="0.3">
      <c r="B100" s="115"/>
      <c r="D100" s="116" t="s">
        <v>163</v>
      </c>
      <c r="E100" s="117"/>
      <c r="F100" s="117"/>
      <c r="G100" s="117"/>
      <c r="H100" s="117"/>
      <c r="I100" s="117"/>
      <c r="J100" s="118">
        <f>J167</f>
        <v>34410.110000000008</v>
      </c>
      <c r="L100" s="115"/>
    </row>
    <row r="101" spans="2:12" s="9" customFormat="1" ht="19.899999999999999" customHeight="1" x14ac:dyDescent="0.3">
      <c r="B101" s="115"/>
      <c r="D101" s="116" t="s">
        <v>164</v>
      </c>
      <c r="E101" s="117"/>
      <c r="F101" s="117"/>
      <c r="G101" s="117"/>
      <c r="H101" s="117"/>
      <c r="I101" s="117"/>
      <c r="J101" s="118">
        <f>J189</f>
        <v>51563.78</v>
      </c>
      <c r="L101" s="115"/>
    </row>
    <row r="102" spans="2:12" s="9" customFormat="1" ht="19.899999999999999" customHeight="1" x14ac:dyDescent="0.3">
      <c r="B102" s="115"/>
      <c r="D102" s="116" t="s">
        <v>165</v>
      </c>
      <c r="E102" s="117"/>
      <c r="F102" s="117"/>
      <c r="G102" s="117"/>
      <c r="H102" s="117"/>
      <c r="I102" s="117"/>
      <c r="J102" s="118">
        <f>J198</f>
        <v>10056.92</v>
      </c>
      <c r="L102" s="115"/>
    </row>
    <row r="103" spans="2:12" s="1" customFormat="1" ht="21.75" customHeight="1" x14ac:dyDescent="0.3">
      <c r="B103" s="33"/>
      <c r="L103" s="33"/>
    </row>
    <row r="104" spans="2:12" s="1" customFormat="1" ht="6.95" customHeight="1" x14ac:dyDescent="0.3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5" customHeight="1" x14ac:dyDescent="0.3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5" customHeight="1" x14ac:dyDescent="0.3">
      <c r="B109" s="33"/>
      <c r="C109" s="22" t="s">
        <v>168</v>
      </c>
      <c r="L109" s="33"/>
    </row>
    <row r="110" spans="2:12" s="1" customFormat="1" ht="6.95" customHeight="1" x14ac:dyDescent="0.3">
      <c r="B110" s="33"/>
      <c r="L110" s="33"/>
    </row>
    <row r="111" spans="2:12" s="1" customFormat="1" ht="12" customHeight="1" x14ac:dyDescent="0.3">
      <c r="B111" s="33"/>
      <c r="C111" s="28" t="s">
        <v>15</v>
      </c>
      <c r="L111" s="33"/>
    </row>
    <row r="112" spans="2:12" s="1" customFormat="1" ht="16.5" customHeight="1" x14ac:dyDescent="0.3">
      <c r="B112" s="33"/>
      <c r="E112" s="324" t="str">
        <f>E7</f>
        <v>Obnova ulice Tyršova, Dobrovice - I. etapa</v>
      </c>
      <c r="F112" s="325"/>
      <c r="G112" s="325"/>
      <c r="H112" s="325"/>
      <c r="L112" s="33"/>
    </row>
    <row r="113" spans="2:65" s="1" customFormat="1" ht="12" customHeight="1" x14ac:dyDescent="0.3">
      <c r="B113" s="33"/>
      <c r="C113" s="28" t="s">
        <v>152</v>
      </c>
      <c r="L113" s="33"/>
    </row>
    <row r="114" spans="2:65" s="1" customFormat="1" ht="16.5" customHeight="1" x14ac:dyDescent="0.3">
      <c r="B114" s="33"/>
      <c r="E114" s="308" t="str">
        <f>E9</f>
        <v>SO 103.I - Parkovací stání I. etapa</v>
      </c>
      <c r="F114" s="326"/>
      <c r="G114" s="326"/>
      <c r="H114" s="326"/>
      <c r="L114" s="33"/>
    </row>
    <row r="115" spans="2:65" s="1" customFormat="1" ht="6.95" customHeight="1" x14ac:dyDescent="0.3">
      <c r="B115" s="33"/>
      <c r="L115" s="33"/>
    </row>
    <row r="116" spans="2:65" s="1" customFormat="1" ht="12" customHeight="1" x14ac:dyDescent="0.3">
      <c r="B116" s="33"/>
      <c r="C116" s="28" t="s">
        <v>21</v>
      </c>
      <c r="F116" s="26" t="str">
        <f>F12</f>
        <v>Dobrovice</v>
      </c>
      <c r="I116" s="28" t="s">
        <v>23</v>
      </c>
      <c r="J116" s="53">
        <f>IF(J12="","",J12)</f>
        <v>45678</v>
      </c>
      <c r="L116" s="33"/>
    </row>
    <row r="117" spans="2:65" s="1" customFormat="1" ht="6.95" customHeight="1" x14ac:dyDescent="0.3">
      <c r="B117" s="33"/>
      <c r="L117" s="33"/>
    </row>
    <row r="118" spans="2:65" s="1" customFormat="1" ht="25.7" customHeight="1" x14ac:dyDescent="0.3">
      <c r="B118" s="33"/>
      <c r="C118" s="28" t="s">
        <v>28</v>
      </c>
      <c r="F118" s="26" t="str">
        <f>E15</f>
        <v>Město Dobrovice, Palckého nám. 28, 294 41</v>
      </c>
      <c r="I118" s="28" t="s">
        <v>34</v>
      </c>
      <c r="J118" s="96" t="str">
        <f>E21</f>
        <v>Ing. arch. Martin Jirovský Ph.D., MBA</v>
      </c>
      <c r="L118" s="33"/>
    </row>
    <row r="119" spans="2:65" s="1" customFormat="1" ht="40.15" customHeight="1" x14ac:dyDescent="0.3">
      <c r="B119" s="33"/>
      <c r="C119" s="28" t="s">
        <v>33</v>
      </c>
      <c r="F119" s="26">
        <f>IF(E18="","",E18)</f>
        <v>0</v>
      </c>
      <c r="I119" s="28" t="s">
        <v>38</v>
      </c>
      <c r="J119" s="96" t="str">
        <f>E24</f>
        <v>ROAD M.A.A.T. s.r.o., Petra Stejskalová</v>
      </c>
      <c r="L119" s="33"/>
    </row>
    <row r="120" spans="2:65" s="1" customFormat="1" ht="10.35" customHeight="1" x14ac:dyDescent="0.3">
      <c r="B120" s="33"/>
      <c r="L120" s="33"/>
    </row>
    <row r="121" spans="2:65" s="10" customFormat="1" ht="29.25" customHeight="1" x14ac:dyDescent="0.3">
      <c r="B121" s="119"/>
      <c r="C121" s="120" t="s">
        <v>169</v>
      </c>
      <c r="D121" s="121" t="s">
        <v>66</v>
      </c>
      <c r="E121" s="121" t="s">
        <v>63</v>
      </c>
      <c r="F121" s="121" t="s">
        <v>170</v>
      </c>
      <c r="G121" s="121" t="s">
        <v>171</v>
      </c>
      <c r="H121" s="121" t="s">
        <v>172</v>
      </c>
      <c r="I121" s="121" t="s">
        <v>173</v>
      </c>
      <c r="J121" s="121" t="s">
        <v>157</v>
      </c>
      <c r="K121" s="122" t="s">
        <v>174</v>
      </c>
      <c r="L121" s="119"/>
      <c r="M121" s="60" t="s">
        <v>1</v>
      </c>
      <c r="N121" s="61" t="s">
        <v>46</v>
      </c>
      <c r="O121" s="61" t="s">
        <v>175</v>
      </c>
      <c r="P121" s="61" t="s">
        <v>176</v>
      </c>
      <c r="Q121" s="61" t="s">
        <v>177</v>
      </c>
      <c r="R121" s="61" t="s">
        <v>178</v>
      </c>
      <c r="S121" s="61" t="s">
        <v>179</v>
      </c>
      <c r="T121" s="62" t="s">
        <v>180</v>
      </c>
    </row>
    <row r="122" spans="2:65" s="1" customFormat="1" ht="22.9" customHeight="1" x14ac:dyDescent="0.25">
      <c r="B122" s="33"/>
      <c r="C122" s="65" t="s">
        <v>181</v>
      </c>
      <c r="J122" s="123">
        <f>BK122</f>
        <v>343457.59999999992</v>
      </c>
      <c r="L122" s="33"/>
      <c r="M122" s="63"/>
      <c r="N122" s="54"/>
      <c r="O122" s="54"/>
      <c r="P122" s="124">
        <f>P123</f>
        <v>340.50433300000003</v>
      </c>
      <c r="Q122" s="54"/>
      <c r="R122" s="124">
        <f>R123</f>
        <v>32.926410300000001</v>
      </c>
      <c r="S122" s="54"/>
      <c r="T122" s="125">
        <f>T123</f>
        <v>101.0265</v>
      </c>
      <c r="AT122" s="18" t="s">
        <v>80</v>
      </c>
      <c r="AU122" s="18" t="s">
        <v>159</v>
      </c>
      <c r="BK122" s="126">
        <f>BK123</f>
        <v>343457.59999999992</v>
      </c>
    </row>
    <row r="123" spans="2:65" s="11" customFormat="1" ht="25.9" customHeight="1" x14ac:dyDescent="0.2">
      <c r="B123" s="127"/>
      <c r="D123" s="128" t="s">
        <v>80</v>
      </c>
      <c r="E123" s="129" t="s">
        <v>182</v>
      </c>
      <c r="F123" s="129" t="s">
        <v>183</v>
      </c>
      <c r="J123" s="130">
        <f>BK123</f>
        <v>343457.59999999992</v>
      </c>
      <c r="L123" s="127"/>
      <c r="M123" s="131"/>
      <c r="P123" s="132">
        <f>P124+P148+P167+P189+P198</f>
        <v>340.50433300000003</v>
      </c>
      <c r="R123" s="132">
        <f>R124+R148+R167+R189+R198</f>
        <v>32.926410300000001</v>
      </c>
      <c r="T123" s="133">
        <f>T124+T148+T167+T189+T198</f>
        <v>101.0265</v>
      </c>
      <c r="AR123" s="128" t="s">
        <v>88</v>
      </c>
      <c r="AT123" s="134" t="s">
        <v>80</v>
      </c>
      <c r="AU123" s="134" t="s">
        <v>81</v>
      </c>
      <c r="AY123" s="128" t="s">
        <v>184</v>
      </c>
      <c r="BK123" s="135">
        <f>BK124+BK148+BK167+BK189+BK198</f>
        <v>343457.59999999992</v>
      </c>
    </row>
    <row r="124" spans="2:65" s="11" customFormat="1" ht="22.9" customHeight="1" x14ac:dyDescent="0.2">
      <c r="B124" s="127"/>
      <c r="D124" s="128" t="s">
        <v>80</v>
      </c>
      <c r="E124" s="136" t="s">
        <v>88</v>
      </c>
      <c r="F124" s="136" t="s">
        <v>185</v>
      </c>
      <c r="J124" s="137">
        <f>BK124</f>
        <v>59244.549999999996</v>
      </c>
      <c r="L124" s="127"/>
      <c r="M124" s="131"/>
      <c r="P124" s="132">
        <f>SUM(P125:P147)</f>
        <v>84.198542999999987</v>
      </c>
      <c r="R124" s="132">
        <f>SUM(R125:R147)</f>
        <v>3.6750000000000003E-3</v>
      </c>
      <c r="T124" s="133">
        <f>SUM(T125:T147)</f>
        <v>98.710499999999996</v>
      </c>
      <c r="AR124" s="128" t="s">
        <v>88</v>
      </c>
      <c r="AT124" s="134" t="s">
        <v>80</v>
      </c>
      <c r="AU124" s="134" t="s">
        <v>88</v>
      </c>
      <c r="AY124" s="128" t="s">
        <v>184</v>
      </c>
      <c r="BK124" s="135">
        <f>SUM(BK125:BK147)</f>
        <v>59244.549999999996</v>
      </c>
    </row>
    <row r="125" spans="2:65" s="1" customFormat="1" ht="16.5" customHeight="1" x14ac:dyDescent="0.3">
      <c r="B125" s="33"/>
      <c r="C125" s="138" t="s">
        <v>88</v>
      </c>
      <c r="D125" s="138" t="s">
        <v>186</v>
      </c>
      <c r="E125" s="139" t="s">
        <v>397</v>
      </c>
      <c r="F125" s="140" t="s">
        <v>398</v>
      </c>
      <c r="G125" s="141" t="s">
        <v>189</v>
      </c>
      <c r="H125" s="142">
        <v>73.5</v>
      </c>
      <c r="I125" s="143">
        <v>68.72</v>
      </c>
      <c r="J125" s="144">
        <f>ROUND(I125*H125,2)</f>
        <v>5050.92</v>
      </c>
      <c r="K125" s="140" t="s">
        <v>190</v>
      </c>
      <c r="L125" s="33"/>
      <c r="M125" s="145" t="s">
        <v>1</v>
      </c>
      <c r="N125" s="146" t="s">
        <v>47</v>
      </c>
      <c r="O125" s="147">
        <v>2.7E-2</v>
      </c>
      <c r="P125" s="147">
        <f>O125*H125</f>
        <v>1.9844999999999999</v>
      </c>
      <c r="Q125" s="147">
        <v>0</v>
      </c>
      <c r="R125" s="147">
        <f>Q125*H125</f>
        <v>0</v>
      </c>
      <c r="S125" s="147">
        <v>0.38800000000000001</v>
      </c>
      <c r="T125" s="148">
        <f>S125*H125</f>
        <v>28.518000000000001</v>
      </c>
      <c r="AR125" s="149" t="s">
        <v>191</v>
      </c>
      <c r="AT125" s="149" t="s">
        <v>186</v>
      </c>
      <c r="AU125" s="149" t="s">
        <v>20</v>
      </c>
      <c r="AY125" s="18" t="s">
        <v>184</v>
      </c>
      <c r="BE125" s="150">
        <f>IF(N125="základní",J125,0)</f>
        <v>5050.92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8" t="s">
        <v>88</v>
      </c>
      <c r="BK125" s="150">
        <f>ROUND(I125*H125,2)</f>
        <v>5050.92</v>
      </c>
      <c r="BL125" s="18" t="s">
        <v>191</v>
      </c>
      <c r="BM125" s="149" t="s">
        <v>399</v>
      </c>
    </row>
    <row r="126" spans="2:65" s="1" customFormat="1" x14ac:dyDescent="0.3">
      <c r="B126" s="33"/>
      <c r="D126" s="151" t="s">
        <v>193</v>
      </c>
      <c r="F126" s="152" t="s">
        <v>400</v>
      </c>
      <c r="I126" s="153"/>
      <c r="L126" s="33"/>
      <c r="M126" s="154"/>
      <c r="T126" s="57"/>
      <c r="AT126" s="18" t="s">
        <v>193</v>
      </c>
      <c r="AU126" s="18" t="s">
        <v>20</v>
      </c>
    </row>
    <row r="127" spans="2:65" s="12" customFormat="1" ht="11.25" x14ac:dyDescent="0.3">
      <c r="B127" s="155"/>
      <c r="D127" s="156" t="s">
        <v>195</v>
      </c>
      <c r="E127" s="157" t="s">
        <v>1</v>
      </c>
      <c r="F127" s="158" t="s">
        <v>401</v>
      </c>
      <c r="H127" s="159">
        <v>73.5</v>
      </c>
      <c r="I127" s="160"/>
      <c r="L127" s="155"/>
      <c r="M127" s="161"/>
      <c r="T127" s="162"/>
      <c r="AT127" s="157" t="s">
        <v>195</v>
      </c>
      <c r="AU127" s="157" t="s">
        <v>20</v>
      </c>
      <c r="AV127" s="12" t="s">
        <v>20</v>
      </c>
      <c r="AW127" s="12" t="s">
        <v>37</v>
      </c>
      <c r="AX127" s="12" t="s">
        <v>88</v>
      </c>
      <c r="AY127" s="157" t="s">
        <v>184</v>
      </c>
    </row>
    <row r="128" spans="2:65" s="1" customFormat="1" ht="21.75" customHeight="1" x14ac:dyDescent="0.3">
      <c r="B128" s="33"/>
      <c r="C128" s="138" t="s">
        <v>20</v>
      </c>
      <c r="D128" s="138" t="s">
        <v>186</v>
      </c>
      <c r="E128" s="139" t="s">
        <v>402</v>
      </c>
      <c r="F128" s="140" t="s">
        <v>403</v>
      </c>
      <c r="G128" s="141" t="s">
        <v>189</v>
      </c>
      <c r="H128" s="142">
        <v>73.5</v>
      </c>
      <c r="I128" s="143">
        <v>206.17</v>
      </c>
      <c r="J128" s="144">
        <f>ROUND(I128*H128,2)</f>
        <v>15153.5</v>
      </c>
      <c r="K128" s="140" t="s">
        <v>190</v>
      </c>
      <c r="L128" s="33"/>
      <c r="M128" s="145" t="s">
        <v>1</v>
      </c>
      <c r="N128" s="146" t="s">
        <v>47</v>
      </c>
      <c r="O128" s="147">
        <v>0.20100000000000001</v>
      </c>
      <c r="P128" s="147">
        <f>O128*H128</f>
        <v>14.7735</v>
      </c>
      <c r="Q128" s="147">
        <v>0</v>
      </c>
      <c r="R128" s="147">
        <f>Q128*H128</f>
        <v>0</v>
      </c>
      <c r="S128" s="147">
        <v>0.62</v>
      </c>
      <c r="T128" s="148">
        <f>S128*H128</f>
        <v>45.57</v>
      </c>
      <c r="AR128" s="149" t="s">
        <v>191</v>
      </c>
      <c r="AT128" s="149" t="s">
        <v>186</v>
      </c>
      <c r="AU128" s="149" t="s">
        <v>20</v>
      </c>
      <c r="AY128" s="18" t="s">
        <v>184</v>
      </c>
      <c r="BE128" s="150">
        <f>IF(N128="základní",J128,0)</f>
        <v>15153.5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15153.5</v>
      </c>
      <c r="BL128" s="18" t="s">
        <v>191</v>
      </c>
      <c r="BM128" s="149" t="s">
        <v>404</v>
      </c>
    </row>
    <row r="129" spans="2:65" s="1" customFormat="1" x14ac:dyDescent="0.3">
      <c r="B129" s="33"/>
      <c r="D129" s="151" t="s">
        <v>193</v>
      </c>
      <c r="F129" s="152" t="s">
        <v>405</v>
      </c>
      <c r="I129" s="153"/>
      <c r="L129" s="33"/>
      <c r="M129" s="154"/>
      <c r="T129" s="57"/>
      <c r="AT129" s="18" t="s">
        <v>193</v>
      </c>
      <c r="AU129" s="18" t="s">
        <v>20</v>
      </c>
    </row>
    <row r="130" spans="2:65" s="12" customFormat="1" ht="11.25" x14ac:dyDescent="0.3">
      <c r="B130" s="155"/>
      <c r="D130" s="156" t="s">
        <v>195</v>
      </c>
      <c r="E130" s="157" t="s">
        <v>1</v>
      </c>
      <c r="F130" s="158" t="s">
        <v>401</v>
      </c>
      <c r="H130" s="159">
        <v>73.5</v>
      </c>
      <c r="I130" s="160"/>
      <c r="L130" s="155"/>
      <c r="M130" s="161"/>
      <c r="T130" s="162"/>
      <c r="AT130" s="157" t="s">
        <v>195</v>
      </c>
      <c r="AU130" s="157" t="s">
        <v>20</v>
      </c>
      <c r="AV130" s="12" t="s">
        <v>20</v>
      </c>
      <c r="AW130" s="12" t="s">
        <v>37</v>
      </c>
      <c r="AX130" s="12" t="s">
        <v>88</v>
      </c>
      <c r="AY130" s="157" t="s">
        <v>184</v>
      </c>
    </row>
    <row r="131" spans="2:65" s="1" customFormat="1" ht="16.5" customHeight="1" x14ac:dyDescent="0.3">
      <c r="B131" s="33"/>
      <c r="C131" s="138" t="s">
        <v>202</v>
      </c>
      <c r="D131" s="138" t="s">
        <v>186</v>
      </c>
      <c r="E131" s="139" t="s">
        <v>406</v>
      </c>
      <c r="F131" s="140" t="s">
        <v>407</v>
      </c>
      <c r="G131" s="141" t="s">
        <v>189</v>
      </c>
      <c r="H131" s="142">
        <v>73.5</v>
      </c>
      <c r="I131" s="143">
        <v>91.63</v>
      </c>
      <c r="J131" s="144">
        <f>ROUND(I131*H131,2)</f>
        <v>6734.81</v>
      </c>
      <c r="K131" s="140" t="s">
        <v>190</v>
      </c>
      <c r="L131" s="33"/>
      <c r="M131" s="145" t="s">
        <v>1</v>
      </c>
      <c r="N131" s="146" t="s">
        <v>47</v>
      </c>
      <c r="O131" s="147">
        <v>0.108</v>
      </c>
      <c r="P131" s="147">
        <f>O131*H131</f>
        <v>7.9379999999999997</v>
      </c>
      <c r="Q131" s="147">
        <v>0</v>
      </c>
      <c r="R131" s="147">
        <f>Q131*H131</f>
        <v>0</v>
      </c>
      <c r="S131" s="147">
        <v>0.22</v>
      </c>
      <c r="T131" s="148">
        <f>S131*H131</f>
        <v>16.170000000000002</v>
      </c>
      <c r="AR131" s="149" t="s">
        <v>191</v>
      </c>
      <c r="AT131" s="149" t="s">
        <v>186</v>
      </c>
      <c r="AU131" s="149" t="s">
        <v>20</v>
      </c>
      <c r="AY131" s="18" t="s">
        <v>184</v>
      </c>
      <c r="BE131" s="150">
        <f>IF(N131="základní",J131,0)</f>
        <v>6734.81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8" t="s">
        <v>88</v>
      </c>
      <c r="BK131" s="150">
        <f>ROUND(I131*H131,2)</f>
        <v>6734.81</v>
      </c>
      <c r="BL131" s="18" t="s">
        <v>191</v>
      </c>
      <c r="BM131" s="149" t="s">
        <v>408</v>
      </c>
    </row>
    <row r="132" spans="2:65" s="1" customFormat="1" x14ac:dyDescent="0.3">
      <c r="B132" s="33"/>
      <c r="D132" s="151" t="s">
        <v>193</v>
      </c>
      <c r="F132" s="152" t="s">
        <v>409</v>
      </c>
      <c r="I132" s="153"/>
      <c r="L132" s="33"/>
      <c r="M132" s="154"/>
      <c r="T132" s="57"/>
      <c r="AT132" s="18" t="s">
        <v>193</v>
      </c>
      <c r="AU132" s="18" t="s">
        <v>20</v>
      </c>
    </row>
    <row r="133" spans="2:65" s="1" customFormat="1" ht="19.5" x14ac:dyDescent="0.3">
      <c r="B133" s="33"/>
      <c r="D133" s="156" t="s">
        <v>236</v>
      </c>
      <c r="F133" s="170" t="s">
        <v>410</v>
      </c>
      <c r="I133" s="153"/>
      <c r="L133" s="33"/>
      <c r="M133" s="154"/>
      <c r="T133" s="57"/>
      <c r="AT133" s="18" t="s">
        <v>236</v>
      </c>
      <c r="AU133" s="18" t="s">
        <v>20</v>
      </c>
    </row>
    <row r="134" spans="2:65" s="12" customFormat="1" ht="11.25" x14ac:dyDescent="0.3">
      <c r="B134" s="155"/>
      <c r="D134" s="156" t="s">
        <v>195</v>
      </c>
      <c r="E134" s="157" t="s">
        <v>1</v>
      </c>
      <c r="F134" s="158" t="s">
        <v>401</v>
      </c>
      <c r="H134" s="159">
        <v>73.5</v>
      </c>
      <c r="I134" s="160"/>
      <c r="L134" s="155"/>
      <c r="M134" s="161"/>
      <c r="T134" s="162"/>
      <c r="AT134" s="157" t="s">
        <v>195</v>
      </c>
      <c r="AU134" s="157" t="s">
        <v>20</v>
      </c>
      <c r="AV134" s="12" t="s">
        <v>20</v>
      </c>
      <c r="AW134" s="12" t="s">
        <v>37</v>
      </c>
      <c r="AX134" s="12" t="s">
        <v>88</v>
      </c>
      <c r="AY134" s="157" t="s">
        <v>184</v>
      </c>
    </row>
    <row r="135" spans="2:65" s="1" customFormat="1" ht="21.75" customHeight="1" x14ac:dyDescent="0.3">
      <c r="B135" s="33"/>
      <c r="C135" s="138" t="s">
        <v>191</v>
      </c>
      <c r="D135" s="138" t="s">
        <v>186</v>
      </c>
      <c r="E135" s="139" t="s">
        <v>411</v>
      </c>
      <c r="F135" s="140" t="s">
        <v>412</v>
      </c>
      <c r="G135" s="141" t="s">
        <v>189</v>
      </c>
      <c r="H135" s="142">
        <v>73.5</v>
      </c>
      <c r="I135" s="143">
        <v>128.41</v>
      </c>
      <c r="J135" s="144">
        <f>ROUND(I135*H135,2)</f>
        <v>9438.14</v>
      </c>
      <c r="K135" s="140" t="s">
        <v>190</v>
      </c>
      <c r="L135" s="33"/>
      <c r="M135" s="145" t="s">
        <v>1</v>
      </c>
      <c r="N135" s="146" t="s">
        <v>47</v>
      </c>
      <c r="O135" s="147">
        <v>2.8000000000000001E-2</v>
      </c>
      <c r="P135" s="147">
        <f>O135*H135</f>
        <v>2.0579999999999998</v>
      </c>
      <c r="Q135" s="147">
        <v>5.0000000000000002E-5</v>
      </c>
      <c r="R135" s="147">
        <f>Q135*H135</f>
        <v>3.6750000000000003E-3</v>
      </c>
      <c r="S135" s="147">
        <v>0.115</v>
      </c>
      <c r="T135" s="148">
        <f>S135*H135</f>
        <v>8.4525000000000006</v>
      </c>
      <c r="AR135" s="149" t="s">
        <v>191</v>
      </c>
      <c r="AT135" s="149" t="s">
        <v>186</v>
      </c>
      <c r="AU135" s="149" t="s">
        <v>20</v>
      </c>
      <c r="AY135" s="18" t="s">
        <v>184</v>
      </c>
      <c r="BE135" s="150">
        <f>IF(N135="základní",J135,0)</f>
        <v>9438.14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8" t="s">
        <v>88</v>
      </c>
      <c r="BK135" s="150">
        <f>ROUND(I135*H135,2)</f>
        <v>9438.14</v>
      </c>
      <c r="BL135" s="18" t="s">
        <v>191</v>
      </c>
      <c r="BM135" s="149" t="s">
        <v>413</v>
      </c>
    </row>
    <row r="136" spans="2:65" s="1" customFormat="1" x14ac:dyDescent="0.3">
      <c r="B136" s="33"/>
      <c r="D136" s="151" t="s">
        <v>193</v>
      </c>
      <c r="F136" s="152" t="s">
        <v>414</v>
      </c>
      <c r="I136" s="153"/>
      <c r="L136" s="33"/>
      <c r="M136" s="154"/>
      <c r="T136" s="57"/>
      <c r="AT136" s="18" t="s">
        <v>193</v>
      </c>
      <c r="AU136" s="18" t="s">
        <v>20</v>
      </c>
    </row>
    <row r="137" spans="2:65" s="12" customFormat="1" ht="11.25" x14ac:dyDescent="0.3">
      <c r="B137" s="155"/>
      <c r="D137" s="156" t="s">
        <v>195</v>
      </c>
      <c r="E137" s="157" t="s">
        <v>1</v>
      </c>
      <c r="F137" s="158" t="s">
        <v>401</v>
      </c>
      <c r="H137" s="159">
        <v>73.5</v>
      </c>
      <c r="I137" s="160"/>
      <c r="L137" s="155"/>
      <c r="M137" s="161"/>
      <c r="T137" s="162"/>
      <c r="AT137" s="157" t="s">
        <v>195</v>
      </c>
      <c r="AU137" s="157" t="s">
        <v>20</v>
      </c>
      <c r="AV137" s="12" t="s">
        <v>20</v>
      </c>
      <c r="AW137" s="12" t="s">
        <v>37</v>
      </c>
      <c r="AX137" s="12" t="s">
        <v>88</v>
      </c>
      <c r="AY137" s="157" t="s">
        <v>184</v>
      </c>
    </row>
    <row r="138" spans="2:65" s="1" customFormat="1" ht="16.5" customHeight="1" x14ac:dyDescent="0.3">
      <c r="B138" s="33"/>
      <c r="C138" s="138" t="s">
        <v>214</v>
      </c>
      <c r="D138" s="138" t="s">
        <v>186</v>
      </c>
      <c r="E138" s="139" t="s">
        <v>222</v>
      </c>
      <c r="F138" s="140" t="s">
        <v>223</v>
      </c>
      <c r="G138" s="141" t="s">
        <v>217</v>
      </c>
      <c r="H138" s="142">
        <v>30</v>
      </c>
      <c r="I138" s="143">
        <v>474.04</v>
      </c>
      <c r="J138" s="144">
        <f>ROUND(I138*H138,2)</f>
        <v>14221.2</v>
      </c>
      <c r="K138" s="140" t="s">
        <v>190</v>
      </c>
      <c r="L138" s="33"/>
      <c r="M138" s="145" t="s">
        <v>1</v>
      </c>
      <c r="N138" s="146" t="s">
        <v>47</v>
      </c>
      <c r="O138" s="147">
        <v>1.548</v>
      </c>
      <c r="P138" s="147">
        <f>O138*H138</f>
        <v>46.44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49" t="s">
        <v>191</v>
      </c>
      <c r="AT138" s="149" t="s">
        <v>186</v>
      </c>
      <c r="AU138" s="149" t="s">
        <v>20</v>
      </c>
      <c r="AY138" s="18" t="s">
        <v>184</v>
      </c>
      <c r="BE138" s="150">
        <f>IF(N138="základní",J138,0)</f>
        <v>14221.2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8" t="s">
        <v>88</v>
      </c>
      <c r="BK138" s="150">
        <f>ROUND(I138*H138,2)</f>
        <v>14221.2</v>
      </c>
      <c r="BL138" s="18" t="s">
        <v>191</v>
      </c>
      <c r="BM138" s="149" t="s">
        <v>415</v>
      </c>
    </row>
    <row r="139" spans="2:65" s="1" customFormat="1" x14ac:dyDescent="0.3">
      <c r="B139" s="33"/>
      <c r="D139" s="151" t="s">
        <v>193</v>
      </c>
      <c r="F139" s="152" t="s">
        <v>225</v>
      </c>
      <c r="I139" s="153"/>
      <c r="L139" s="33"/>
      <c r="M139" s="154"/>
      <c r="T139" s="57"/>
      <c r="AT139" s="18" t="s">
        <v>193</v>
      </c>
      <c r="AU139" s="18" t="s">
        <v>20</v>
      </c>
    </row>
    <row r="140" spans="2:65" s="12" customFormat="1" ht="11.25" x14ac:dyDescent="0.3">
      <c r="B140" s="155"/>
      <c r="D140" s="156" t="s">
        <v>195</v>
      </c>
      <c r="E140" s="157" t="s">
        <v>1</v>
      </c>
      <c r="F140" s="158" t="s">
        <v>416</v>
      </c>
      <c r="H140" s="159">
        <v>20</v>
      </c>
      <c r="I140" s="160"/>
      <c r="L140" s="155"/>
      <c r="M140" s="161"/>
      <c r="T140" s="162"/>
      <c r="AT140" s="157" t="s">
        <v>195</v>
      </c>
      <c r="AU140" s="157" t="s">
        <v>20</v>
      </c>
      <c r="AV140" s="12" t="s">
        <v>20</v>
      </c>
      <c r="AW140" s="12" t="s">
        <v>37</v>
      </c>
      <c r="AX140" s="12" t="s">
        <v>81</v>
      </c>
      <c r="AY140" s="157" t="s">
        <v>184</v>
      </c>
    </row>
    <row r="141" spans="2:65" s="12" customFormat="1" ht="11.25" x14ac:dyDescent="0.3">
      <c r="B141" s="155"/>
      <c r="D141" s="156" t="s">
        <v>195</v>
      </c>
      <c r="E141" s="157" t="s">
        <v>1</v>
      </c>
      <c r="F141" s="158" t="s">
        <v>417</v>
      </c>
      <c r="H141" s="159">
        <v>10</v>
      </c>
      <c r="I141" s="160"/>
      <c r="L141" s="155"/>
      <c r="M141" s="161"/>
      <c r="T141" s="162"/>
      <c r="AT141" s="157" t="s">
        <v>195</v>
      </c>
      <c r="AU141" s="157" t="s">
        <v>20</v>
      </c>
      <c r="AV141" s="12" t="s">
        <v>20</v>
      </c>
      <c r="AW141" s="12" t="s">
        <v>37</v>
      </c>
      <c r="AX141" s="12" t="s">
        <v>81</v>
      </c>
      <c r="AY141" s="157" t="s">
        <v>184</v>
      </c>
    </row>
    <row r="142" spans="2:65" s="13" customFormat="1" ht="11.25" x14ac:dyDescent="0.3">
      <c r="B142" s="163"/>
      <c r="D142" s="156" t="s">
        <v>195</v>
      </c>
      <c r="E142" s="164" t="s">
        <v>1</v>
      </c>
      <c r="F142" s="165" t="s">
        <v>230</v>
      </c>
      <c r="H142" s="166">
        <v>30</v>
      </c>
      <c r="I142" s="167"/>
      <c r="L142" s="163"/>
      <c r="M142" s="168"/>
      <c r="T142" s="169"/>
      <c r="AT142" s="164" t="s">
        <v>195</v>
      </c>
      <c r="AU142" s="164" t="s">
        <v>20</v>
      </c>
      <c r="AV142" s="13" t="s">
        <v>191</v>
      </c>
      <c r="AW142" s="13" t="s">
        <v>37</v>
      </c>
      <c r="AX142" s="13" t="s">
        <v>88</v>
      </c>
      <c r="AY142" s="164" t="s">
        <v>184</v>
      </c>
    </row>
    <row r="143" spans="2:65" s="1" customFormat="1" ht="21.75" customHeight="1" x14ac:dyDescent="0.3">
      <c r="B143" s="33"/>
      <c r="C143" s="138" t="s">
        <v>221</v>
      </c>
      <c r="D143" s="138" t="s">
        <v>186</v>
      </c>
      <c r="E143" s="139" t="s">
        <v>418</v>
      </c>
      <c r="F143" s="140" t="s">
        <v>419</v>
      </c>
      <c r="G143" s="141" t="s">
        <v>217</v>
      </c>
      <c r="H143" s="142">
        <v>3.7320000000000002</v>
      </c>
      <c r="I143" s="143">
        <v>1527.18</v>
      </c>
      <c r="J143" s="144">
        <f>ROUND(I143*H143,2)</f>
        <v>5699.44</v>
      </c>
      <c r="K143" s="140" t="s">
        <v>190</v>
      </c>
      <c r="L143" s="33"/>
      <c r="M143" s="145" t="s">
        <v>1</v>
      </c>
      <c r="N143" s="146" t="s">
        <v>47</v>
      </c>
      <c r="O143" s="147">
        <v>2.3490000000000002</v>
      </c>
      <c r="P143" s="147">
        <f>O143*H143</f>
        <v>8.7664680000000015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AR143" s="149" t="s">
        <v>191</v>
      </c>
      <c r="AT143" s="149" t="s">
        <v>186</v>
      </c>
      <c r="AU143" s="149" t="s">
        <v>20</v>
      </c>
      <c r="AY143" s="18" t="s">
        <v>184</v>
      </c>
      <c r="BE143" s="150">
        <f>IF(N143="základní",J143,0)</f>
        <v>5699.44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8" t="s">
        <v>88</v>
      </c>
      <c r="BK143" s="150">
        <f>ROUND(I143*H143,2)</f>
        <v>5699.44</v>
      </c>
      <c r="BL143" s="18" t="s">
        <v>191</v>
      </c>
      <c r="BM143" s="149" t="s">
        <v>420</v>
      </c>
    </row>
    <row r="144" spans="2:65" s="1" customFormat="1" x14ac:dyDescent="0.3">
      <c r="B144" s="33"/>
      <c r="D144" s="151" t="s">
        <v>193</v>
      </c>
      <c r="F144" s="152" t="s">
        <v>421</v>
      </c>
      <c r="I144" s="153"/>
      <c r="L144" s="33"/>
      <c r="M144" s="154"/>
      <c r="T144" s="57"/>
      <c r="AT144" s="18" t="s">
        <v>193</v>
      </c>
      <c r="AU144" s="18" t="s">
        <v>20</v>
      </c>
    </row>
    <row r="145" spans="2:65" s="12" customFormat="1" ht="11.25" x14ac:dyDescent="0.3">
      <c r="B145" s="155"/>
      <c r="D145" s="156" t="s">
        <v>195</v>
      </c>
      <c r="E145" s="157" t="s">
        <v>1</v>
      </c>
      <c r="F145" s="158" t="s">
        <v>422</v>
      </c>
      <c r="H145" s="159">
        <v>3.7320000000000002</v>
      </c>
      <c r="I145" s="160"/>
      <c r="L145" s="155"/>
      <c r="M145" s="161"/>
      <c r="T145" s="162"/>
      <c r="AT145" s="157" t="s">
        <v>195</v>
      </c>
      <c r="AU145" s="157" t="s">
        <v>20</v>
      </c>
      <c r="AV145" s="12" t="s">
        <v>20</v>
      </c>
      <c r="AW145" s="12" t="s">
        <v>37</v>
      </c>
      <c r="AX145" s="12" t="s">
        <v>88</v>
      </c>
      <c r="AY145" s="157" t="s">
        <v>184</v>
      </c>
    </row>
    <row r="146" spans="2:65" s="1" customFormat="1" ht="16.5" customHeight="1" x14ac:dyDescent="0.3">
      <c r="B146" s="33"/>
      <c r="C146" s="138" t="s">
        <v>231</v>
      </c>
      <c r="D146" s="138" t="s">
        <v>186</v>
      </c>
      <c r="E146" s="139" t="s">
        <v>258</v>
      </c>
      <c r="F146" s="140" t="s">
        <v>259</v>
      </c>
      <c r="G146" s="141" t="s">
        <v>189</v>
      </c>
      <c r="H146" s="142">
        <v>77.174999999999997</v>
      </c>
      <c r="I146" s="143">
        <v>38.18</v>
      </c>
      <c r="J146" s="144">
        <f>ROUND(I146*H146,2)</f>
        <v>2946.54</v>
      </c>
      <c r="K146" s="140" t="s">
        <v>1</v>
      </c>
      <c r="L146" s="33"/>
      <c r="M146" s="145" t="s">
        <v>1</v>
      </c>
      <c r="N146" s="146" t="s">
        <v>47</v>
      </c>
      <c r="O146" s="147">
        <v>2.9000000000000001E-2</v>
      </c>
      <c r="P146" s="147">
        <f>O146*H146</f>
        <v>2.2380749999999998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191</v>
      </c>
      <c r="AT146" s="149" t="s">
        <v>186</v>
      </c>
      <c r="AU146" s="149" t="s">
        <v>20</v>
      </c>
      <c r="AY146" s="18" t="s">
        <v>184</v>
      </c>
      <c r="BE146" s="150">
        <f>IF(N146="základní",J146,0)</f>
        <v>2946.54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8" t="s">
        <v>88</v>
      </c>
      <c r="BK146" s="150">
        <f>ROUND(I146*H146,2)</f>
        <v>2946.54</v>
      </c>
      <c r="BL146" s="18" t="s">
        <v>191</v>
      </c>
      <c r="BM146" s="149" t="s">
        <v>423</v>
      </c>
    </row>
    <row r="147" spans="2:65" s="12" customFormat="1" ht="11.25" x14ac:dyDescent="0.3">
      <c r="B147" s="155"/>
      <c r="D147" s="156" t="s">
        <v>195</v>
      </c>
      <c r="E147" s="157" t="s">
        <v>1</v>
      </c>
      <c r="F147" s="158" t="s">
        <v>424</v>
      </c>
      <c r="H147" s="159">
        <v>77.174999999999997</v>
      </c>
      <c r="I147" s="160"/>
      <c r="L147" s="155"/>
      <c r="M147" s="161"/>
      <c r="T147" s="162"/>
      <c r="AT147" s="157" t="s">
        <v>195</v>
      </c>
      <c r="AU147" s="157" t="s">
        <v>20</v>
      </c>
      <c r="AV147" s="12" t="s">
        <v>20</v>
      </c>
      <c r="AW147" s="12" t="s">
        <v>37</v>
      </c>
      <c r="AX147" s="12" t="s">
        <v>88</v>
      </c>
      <c r="AY147" s="157" t="s">
        <v>184</v>
      </c>
    </row>
    <row r="148" spans="2:65" s="11" customFormat="1" ht="22.9" customHeight="1" x14ac:dyDescent="0.2">
      <c r="B148" s="127"/>
      <c r="D148" s="128" t="s">
        <v>80</v>
      </c>
      <c r="E148" s="136" t="s">
        <v>214</v>
      </c>
      <c r="F148" s="136" t="s">
        <v>263</v>
      </c>
      <c r="I148" s="171"/>
      <c r="J148" s="137">
        <f>BK148</f>
        <v>188182.24</v>
      </c>
      <c r="L148" s="127"/>
      <c r="M148" s="131"/>
      <c r="P148" s="132">
        <f>SUM(P149:P166)</f>
        <v>60.207000000000001</v>
      </c>
      <c r="R148" s="132">
        <f>SUM(R149:R166)</f>
        <v>21.932023000000001</v>
      </c>
      <c r="T148" s="133">
        <f>SUM(T149:T166)</f>
        <v>0</v>
      </c>
      <c r="AR148" s="128" t="s">
        <v>88</v>
      </c>
      <c r="AT148" s="134" t="s">
        <v>80</v>
      </c>
      <c r="AU148" s="134" t="s">
        <v>88</v>
      </c>
      <c r="AY148" s="128" t="s">
        <v>184</v>
      </c>
      <c r="BK148" s="135">
        <f>SUM(BK149:BK166)</f>
        <v>188182.24</v>
      </c>
    </row>
    <row r="149" spans="2:65" s="1" customFormat="1" ht="21.75" customHeight="1" x14ac:dyDescent="0.3">
      <c r="B149" s="33"/>
      <c r="C149" s="138" t="s">
        <v>239</v>
      </c>
      <c r="D149" s="138" t="s">
        <v>186</v>
      </c>
      <c r="E149" s="139" t="s">
        <v>425</v>
      </c>
      <c r="F149" s="140" t="s">
        <v>426</v>
      </c>
      <c r="G149" s="141" t="s">
        <v>189</v>
      </c>
      <c r="H149" s="142">
        <v>77.2</v>
      </c>
      <c r="I149" s="143">
        <v>196.18</v>
      </c>
      <c r="J149" s="144">
        <f>ROUND(I149*H149,2)</f>
        <v>15145.1</v>
      </c>
      <c r="K149" s="140" t="s">
        <v>190</v>
      </c>
      <c r="L149" s="33"/>
      <c r="M149" s="145" t="s">
        <v>1</v>
      </c>
      <c r="N149" s="146" t="s">
        <v>47</v>
      </c>
      <c r="O149" s="147">
        <v>2.9000000000000001E-2</v>
      </c>
      <c r="P149" s="147">
        <f>O149*H149</f>
        <v>2.2388000000000003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191</v>
      </c>
      <c r="AT149" s="149" t="s">
        <v>186</v>
      </c>
      <c r="AU149" s="149" t="s">
        <v>20</v>
      </c>
      <c r="AY149" s="18" t="s">
        <v>184</v>
      </c>
      <c r="BE149" s="150">
        <f>IF(N149="základní",J149,0)</f>
        <v>15145.1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8" t="s">
        <v>88</v>
      </c>
      <c r="BK149" s="150">
        <f>ROUND(I149*H149,2)</f>
        <v>15145.1</v>
      </c>
      <c r="BL149" s="18" t="s">
        <v>191</v>
      </c>
      <c r="BM149" s="149" t="s">
        <v>427</v>
      </c>
    </row>
    <row r="150" spans="2:65" s="1" customFormat="1" x14ac:dyDescent="0.3">
      <c r="B150" s="33"/>
      <c r="D150" s="151" t="s">
        <v>193</v>
      </c>
      <c r="F150" s="152" t="s">
        <v>428</v>
      </c>
      <c r="I150" s="153"/>
      <c r="L150" s="33"/>
      <c r="M150" s="154"/>
      <c r="T150" s="57"/>
      <c r="AT150" s="18" t="s">
        <v>193</v>
      </c>
      <c r="AU150" s="18" t="s">
        <v>20</v>
      </c>
    </row>
    <row r="151" spans="2:65" s="1" customFormat="1" ht="19.5" x14ac:dyDescent="0.3">
      <c r="B151" s="33"/>
      <c r="D151" s="156" t="s">
        <v>236</v>
      </c>
      <c r="F151" s="170" t="s">
        <v>429</v>
      </c>
      <c r="I151" s="153"/>
      <c r="L151" s="33"/>
      <c r="M151" s="154"/>
      <c r="T151" s="57"/>
      <c r="AT151" s="18" t="s">
        <v>236</v>
      </c>
      <c r="AU151" s="18" t="s">
        <v>20</v>
      </c>
    </row>
    <row r="152" spans="2:65" s="1" customFormat="1" ht="24.2" customHeight="1" x14ac:dyDescent="0.3">
      <c r="B152" s="33"/>
      <c r="C152" s="138" t="s">
        <v>245</v>
      </c>
      <c r="D152" s="138" t="s">
        <v>186</v>
      </c>
      <c r="E152" s="139" t="s">
        <v>430</v>
      </c>
      <c r="F152" s="140" t="s">
        <v>431</v>
      </c>
      <c r="G152" s="141" t="s">
        <v>189</v>
      </c>
      <c r="H152" s="142">
        <v>77.2</v>
      </c>
      <c r="I152" s="143">
        <v>392.36</v>
      </c>
      <c r="J152" s="144">
        <f>ROUND(I152*H152,2)</f>
        <v>30290.19</v>
      </c>
      <c r="K152" s="140" t="s">
        <v>190</v>
      </c>
      <c r="L152" s="33"/>
      <c r="M152" s="145" t="s">
        <v>1</v>
      </c>
      <c r="N152" s="146" t="s">
        <v>47</v>
      </c>
      <c r="O152" s="147">
        <v>7.6999999999999999E-2</v>
      </c>
      <c r="P152" s="147">
        <f>O152*H152</f>
        <v>5.9443999999999999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191</v>
      </c>
      <c r="AT152" s="149" t="s">
        <v>186</v>
      </c>
      <c r="AU152" s="149" t="s">
        <v>20</v>
      </c>
      <c r="AY152" s="18" t="s">
        <v>184</v>
      </c>
      <c r="BE152" s="150">
        <f>IF(N152="základní",J152,0)</f>
        <v>30290.19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8" t="s">
        <v>88</v>
      </c>
      <c r="BK152" s="150">
        <f>ROUND(I152*H152,2)</f>
        <v>30290.19</v>
      </c>
      <c r="BL152" s="18" t="s">
        <v>191</v>
      </c>
      <c r="BM152" s="149" t="s">
        <v>432</v>
      </c>
    </row>
    <row r="153" spans="2:65" s="1" customFormat="1" x14ac:dyDescent="0.3">
      <c r="B153" s="33"/>
      <c r="D153" s="151" t="s">
        <v>193</v>
      </c>
      <c r="F153" s="152" t="s">
        <v>433</v>
      </c>
      <c r="I153" s="153"/>
      <c r="L153" s="33"/>
      <c r="M153" s="154"/>
      <c r="T153" s="57"/>
      <c r="AT153" s="18" t="s">
        <v>193</v>
      </c>
      <c r="AU153" s="18" t="s">
        <v>20</v>
      </c>
    </row>
    <row r="154" spans="2:65" s="1" customFormat="1" ht="19.5" x14ac:dyDescent="0.3">
      <c r="B154" s="33"/>
      <c r="D154" s="156" t="s">
        <v>236</v>
      </c>
      <c r="F154" s="170" t="s">
        <v>434</v>
      </c>
      <c r="I154" s="153"/>
      <c r="L154" s="33"/>
      <c r="M154" s="154"/>
      <c r="T154" s="57"/>
      <c r="AT154" s="18" t="s">
        <v>236</v>
      </c>
      <c r="AU154" s="18" t="s">
        <v>20</v>
      </c>
    </row>
    <row r="155" spans="2:65" s="1" customFormat="1" ht="24.2" customHeight="1" x14ac:dyDescent="0.3">
      <c r="B155" s="33"/>
      <c r="C155" s="138" t="s">
        <v>252</v>
      </c>
      <c r="D155" s="138" t="s">
        <v>186</v>
      </c>
      <c r="E155" s="139" t="s">
        <v>435</v>
      </c>
      <c r="F155" s="140" t="s">
        <v>436</v>
      </c>
      <c r="G155" s="141" t="s">
        <v>189</v>
      </c>
      <c r="H155" s="142">
        <v>77.2</v>
      </c>
      <c r="I155" s="143">
        <v>376.67</v>
      </c>
      <c r="J155" s="144">
        <f>ROUND(I155*H155,2)</f>
        <v>29078.92</v>
      </c>
      <c r="K155" s="140" t="s">
        <v>190</v>
      </c>
      <c r="L155" s="33"/>
      <c r="M155" s="145" t="s">
        <v>1</v>
      </c>
      <c r="N155" s="146" t="s">
        <v>47</v>
      </c>
      <c r="O155" s="147">
        <v>8.4000000000000005E-2</v>
      </c>
      <c r="P155" s="147">
        <f>O155*H155</f>
        <v>6.4848000000000008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191</v>
      </c>
      <c r="AT155" s="149" t="s">
        <v>186</v>
      </c>
      <c r="AU155" s="149" t="s">
        <v>20</v>
      </c>
      <c r="AY155" s="18" t="s">
        <v>184</v>
      </c>
      <c r="BE155" s="150">
        <f>IF(N155="základní",J155,0)</f>
        <v>29078.92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8" t="s">
        <v>88</v>
      </c>
      <c r="BK155" s="150">
        <f>ROUND(I155*H155,2)</f>
        <v>29078.92</v>
      </c>
      <c r="BL155" s="18" t="s">
        <v>191</v>
      </c>
      <c r="BM155" s="149" t="s">
        <v>437</v>
      </c>
    </row>
    <row r="156" spans="2:65" s="1" customFormat="1" x14ac:dyDescent="0.3">
      <c r="B156" s="33"/>
      <c r="D156" s="151" t="s">
        <v>193</v>
      </c>
      <c r="F156" s="152" t="s">
        <v>438</v>
      </c>
      <c r="I156" s="153"/>
      <c r="L156" s="33"/>
      <c r="M156" s="154"/>
      <c r="T156" s="57"/>
      <c r="AT156" s="18" t="s">
        <v>193</v>
      </c>
      <c r="AU156" s="18" t="s">
        <v>20</v>
      </c>
    </row>
    <row r="157" spans="2:65" s="1" customFormat="1" ht="19.5" x14ac:dyDescent="0.3">
      <c r="B157" s="33"/>
      <c r="D157" s="156" t="s">
        <v>236</v>
      </c>
      <c r="F157" s="170" t="s">
        <v>439</v>
      </c>
      <c r="I157" s="153"/>
      <c r="L157" s="33"/>
      <c r="M157" s="154"/>
      <c r="T157" s="57"/>
      <c r="AT157" s="18" t="s">
        <v>236</v>
      </c>
      <c r="AU157" s="18" t="s">
        <v>20</v>
      </c>
    </row>
    <row r="158" spans="2:65" s="1" customFormat="1" ht="16.5" customHeight="1" x14ac:dyDescent="0.3">
      <c r="B158" s="33"/>
      <c r="C158" s="172" t="s">
        <v>257</v>
      </c>
      <c r="D158" s="172" t="s">
        <v>271</v>
      </c>
      <c r="E158" s="173" t="s">
        <v>440</v>
      </c>
      <c r="F158" s="174" t="s">
        <v>441</v>
      </c>
      <c r="G158" s="175" t="s">
        <v>248</v>
      </c>
      <c r="H158" s="176">
        <v>1.93</v>
      </c>
      <c r="I158" s="177">
        <v>5336.13</v>
      </c>
      <c r="J158" s="178">
        <f>ROUND(I158*H158,2)</f>
        <v>10298.73</v>
      </c>
      <c r="K158" s="174" t="s">
        <v>190</v>
      </c>
      <c r="L158" s="179"/>
      <c r="M158" s="180" t="s">
        <v>1</v>
      </c>
      <c r="N158" s="181" t="s">
        <v>47</v>
      </c>
      <c r="O158" s="147">
        <v>0</v>
      </c>
      <c r="P158" s="147">
        <f>O158*H158</f>
        <v>0</v>
      </c>
      <c r="Q158" s="147">
        <v>1</v>
      </c>
      <c r="R158" s="147">
        <f>Q158*H158</f>
        <v>1.93</v>
      </c>
      <c r="S158" s="147">
        <v>0</v>
      </c>
      <c r="T158" s="148">
        <f>S158*H158</f>
        <v>0</v>
      </c>
      <c r="AR158" s="149" t="s">
        <v>239</v>
      </c>
      <c r="AT158" s="149" t="s">
        <v>271</v>
      </c>
      <c r="AU158" s="149" t="s">
        <v>20</v>
      </c>
      <c r="AY158" s="18" t="s">
        <v>184</v>
      </c>
      <c r="BE158" s="150">
        <f>IF(N158="základní",J158,0)</f>
        <v>10298.73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8" t="s">
        <v>88</v>
      </c>
      <c r="BK158" s="150">
        <f>ROUND(I158*H158,2)</f>
        <v>10298.73</v>
      </c>
      <c r="BL158" s="18" t="s">
        <v>191</v>
      </c>
      <c r="BM158" s="149" t="s">
        <v>442</v>
      </c>
    </row>
    <row r="159" spans="2:65" s="12" customFormat="1" ht="11.25" x14ac:dyDescent="0.3">
      <c r="B159" s="155"/>
      <c r="D159" s="156" t="s">
        <v>195</v>
      </c>
      <c r="E159" s="157" t="s">
        <v>1</v>
      </c>
      <c r="F159" s="158" t="s">
        <v>443</v>
      </c>
      <c r="H159" s="159">
        <v>1.93</v>
      </c>
      <c r="I159" s="160"/>
      <c r="L159" s="155"/>
      <c r="M159" s="161"/>
      <c r="T159" s="162"/>
      <c r="AT159" s="157" t="s">
        <v>195</v>
      </c>
      <c r="AU159" s="157" t="s">
        <v>20</v>
      </c>
      <c r="AV159" s="12" t="s">
        <v>20</v>
      </c>
      <c r="AW159" s="12" t="s">
        <v>37</v>
      </c>
      <c r="AX159" s="12" t="s">
        <v>88</v>
      </c>
      <c r="AY159" s="157" t="s">
        <v>184</v>
      </c>
    </row>
    <row r="160" spans="2:65" s="1" customFormat="1" ht="16.5" customHeight="1" x14ac:dyDescent="0.3">
      <c r="B160" s="33"/>
      <c r="C160" s="172" t="s">
        <v>264</v>
      </c>
      <c r="D160" s="172" t="s">
        <v>271</v>
      </c>
      <c r="E160" s="173" t="s">
        <v>444</v>
      </c>
      <c r="F160" s="174" t="s">
        <v>445</v>
      </c>
      <c r="G160" s="175" t="s">
        <v>446</v>
      </c>
      <c r="H160" s="176">
        <v>30.88</v>
      </c>
      <c r="I160" s="177">
        <v>627.78</v>
      </c>
      <c r="J160" s="178">
        <f>ROUND(I160*H160,2)</f>
        <v>19385.849999999999</v>
      </c>
      <c r="K160" s="174" t="s">
        <v>190</v>
      </c>
      <c r="L160" s="179"/>
      <c r="M160" s="180" t="s">
        <v>1</v>
      </c>
      <c r="N160" s="181" t="s">
        <v>47</v>
      </c>
      <c r="O160" s="147">
        <v>0</v>
      </c>
      <c r="P160" s="147">
        <f>O160*H160</f>
        <v>0</v>
      </c>
      <c r="Q160" s="147">
        <v>1E-3</v>
      </c>
      <c r="R160" s="147">
        <f>Q160*H160</f>
        <v>3.0880000000000001E-2</v>
      </c>
      <c r="S160" s="147">
        <v>0</v>
      </c>
      <c r="T160" s="148">
        <f>S160*H160</f>
        <v>0</v>
      </c>
      <c r="AR160" s="149" t="s">
        <v>239</v>
      </c>
      <c r="AT160" s="149" t="s">
        <v>271</v>
      </c>
      <c r="AU160" s="149" t="s">
        <v>20</v>
      </c>
      <c r="AY160" s="18" t="s">
        <v>184</v>
      </c>
      <c r="BE160" s="150">
        <f>IF(N160="základní",J160,0)</f>
        <v>19385.849999999999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8" t="s">
        <v>88</v>
      </c>
      <c r="BK160" s="150">
        <f>ROUND(I160*H160,2)</f>
        <v>19385.849999999999</v>
      </c>
      <c r="BL160" s="18" t="s">
        <v>191</v>
      </c>
      <c r="BM160" s="149" t="s">
        <v>447</v>
      </c>
    </row>
    <row r="161" spans="2:65" s="12" customFormat="1" ht="11.25" x14ac:dyDescent="0.3">
      <c r="B161" s="155"/>
      <c r="D161" s="156" t="s">
        <v>195</v>
      </c>
      <c r="E161" s="157" t="s">
        <v>1</v>
      </c>
      <c r="F161" s="158" t="s">
        <v>448</v>
      </c>
      <c r="H161" s="159">
        <v>30.88</v>
      </c>
      <c r="I161" s="160"/>
      <c r="L161" s="155"/>
      <c r="M161" s="161"/>
      <c r="T161" s="162"/>
      <c r="AT161" s="157" t="s">
        <v>195</v>
      </c>
      <c r="AU161" s="157" t="s">
        <v>20</v>
      </c>
      <c r="AV161" s="12" t="s">
        <v>20</v>
      </c>
      <c r="AW161" s="12" t="s">
        <v>37</v>
      </c>
      <c r="AX161" s="12" t="s">
        <v>88</v>
      </c>
      <c r="AY161" s="157" t="s">
        <v>184</v>
      </c>
    </row>
    <row r="162" spans="2:65" s="1" customFormat="1" ht="21.75" customHeight="1" x14ac:dyDescent="0.3">
      <c r="B162" s="33"/>
      <c r="C162" s="138" t="s">
        <v>270</v>
      </c>
      <c r="D162" s="138" t="s">
        <v>186</v>
      </c>
      <c r="E162" s="139" t="s">
        <v>449</v>
      </c>
      <c r="F162" s="140" t="s">
        <v>450</v>
      </c>
      <c r="G162" s="141" t="s">
        <v>189</v>
      </c>
      <c r="H162" s="142">
        <v>73.45</v>
      </c>
      <c r="I162" s="143">
        <v>674.87</v>
      </c>
      <c r="J162" s="144">
        <f>ROUND(I162*H162,2)</f>
        <v>49569.2</v>
      </c>
      <c r="K162" s="140" t="s">
        <v>190</v>
      </c>
      <c r="L162" s="33"/>
      <c r="M162" s="145" t="s">
        <v>1</v>
      </c>
      <c r="N162" s="146" t="s">
        <v>47</v>
      </c>
      <c r="O162" s="147">
        <v>0.62</v>
      </c>
      <c r="P162" s="147">
        <f>O162*H162</f>
        <v>45.539000000000001</v>
      </c>
      <c r="Q162" s="147">
        <v>9.0620000000000006E-2</v>
      </c>
      <c r="R162" s="147">
        <f>Q162*H162</f>
        <v>6.6560390000000007</v>
      </c>
      <c r="S162" s="147">
        <v>0</v>
      </c>
      <c r="T162" s="148">
        <f>S162*H162</f>
        <v>0</v>
      </c>
      <c r="AR162" s="149" t="s">
        <v>191</v>
      </c>
      <c r="AT162" s="149" t="s">
        <v>186</v>
      </c>
      <c r="AU162" s="149" t="s">
        <v>20</v>
      </c>
      <c r="AY162" s="18" t="s">
        <v>184</v>
      </c>
      <c r="BE162" s="150">
        <f>IF(N162="základní",J162,0)</f>
        <v>49569.2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8" t="s">
        <v>88</v>
      </c>
      <c r="BK162" s="150">
        <f>ROUND(I162*H162,2)</f>
        <v>49569.2</v>
      </c>
      <c r="BL162" s="18" t="s">
        <v>191</v>
      </c>
      <c r="BM162" s="149" t="s">
        <v>451</v>
      </c>
    </row>
    <row r="163" spans="2:65" s="1" customFormat="1" x14ac:dyDescent="0.3">
      <c r="B163" s="33"/>
      <c r="D163" s="151" t="s">
        <v>193</v>
      </c>
      <c r="F163" s="152" t="s">
        <v>452</v>
      </c>
      <c r="I163" s="153"/>
      <c r="L163" s="33"/>
      <c r="M163" s="154"/>
      <c r="T163" s="57"/>
      <c r="AT163" s="18" t="s">
        <v>193</v>
      </c>
      <c r="AU163" s="18" t="s">
        <v>20</v>
      </c>
    </row>
    <row r="164" spans="2:65" s="1" customFormat="1" ht="16.5" customHeight="1" x14ac:dyDescent="0.3">
      <c r="B164" s="33"/>
      <c r="C164" s="172" t="s">
        <v>276</v>
      </c>
      <c r="D164" s="172" t="s">
        <v>271</v>
      </c>
      <c r="E164" s="173" t="s">
        <v>453</v>
      </c>
      <c r="F164" s="174" t="s">
        <v>454</v>
      </c>
      <c r="G164" s="175" t="s">
        <v>189</v>
      </c>
      <c r="H164" s="176">
        <v>75.653999999999996</v>
      </c>
      <c r="I164" s="177">
        <v>454.89</v>
      </c>
      <c r="J164" s="178">
        <f>ROUND(I164*H164,2)</f>
        <v>34414.25</v>
      </c>
      <c r="K164" s="174" t="s">
        <v>190</v>
      </c>
      <c r="L164" s="179"/>
      <c r="M164" s="180" t="s">
        <v>1</v>
      </c>
      <c r="N164" s="181" t="s">
        <v>47</v>
      </c>
      <c r="O164" s="147">
        <v>0</v>
      </c>
      <c r="P164" s="147">
        <f>O164*H164</f>
        <v>0</v>
      </c>
      <c r="Q164" s="147">
        <v>0.17599999999999999</v>
      </c>
      <c r="R164" s="147">
        <f>Q164*H164</f>
        <v>13.315103999999998</v>
      </c>
      <c r="S164" s="147">
        <v>0</v>
      </c>
      <c r="T164" s="148">
        <f>S164*H164</f>
        <v>0</v>
      </c>
      <c r="AR164" s="149" t="s">
        <v>239</v>
      </c>
      <c r="AT164" s="149" t="s">
        <v>271</v>
      </c>
      <c r="AU164" s="149" t="s">
        <v>20</v>
      </c>
      <c r="AY164" s="18" t="s">
        <v>184</v>
      </c>
      <c r="BE164" s="150">
        <f>IF(N164="základní",J164,0)</f>
        <v>34414.25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8" t="s">
        <v>88</v>
      </c>
      <c r="BK164" s="150">
        <f>ROUND(I164*H164,2)</f>
        <v>34414.25</v>
      </c>
      <c r="BL164" s="18" t="s">
        <v>191</v>
      </c>
      <c r="BM164" s="149" t="s">
        <v>455</v>
      </c>
    </row>
    <row r="165" spans="2:65" s="12" customFormat="1" ht="11.25" x14ac:dyDescent="0.3">
      <c r="B165" s="155"/>
      <c r="D165" s="156" t="s">
        <v>195</v>
      </c>
      <c r="E165" s="157" t="s">
        <v>1</v>
      </c>
      <c r="F165" s="158" t="s">
        <v>456</v>
      </c>
      <c r="H165" s="159">
        <v>73.45</v>
      </c>
      <c r="I165" s="160"/>
      <c r="L165" s="155"/>
      <c r="M165" s="161"/>
      <c r="T165" s="162"/>
      <c r="AT165" s="157" t="s">
        <v>195</v>
      </c>
      <c r="AU165" s="157" t="s">
        <v>20</v>
      </c>
      <c r="AV165" s="12" t="s">
        <v>20</v>
      </c>
      <c r="AW165" s="12" t="s">
        <v>37</v>
      </c>
      <c r="AX165" s="12" t="s">
        <v>81</v>
      </c>
      <c r="AY165" s="157" t="s">
        <v>184</v>
      </c>
    </row>
    <row r="166" spans="2:65" s="12" customFormat="1" ht="11.25" x14ac:dyDescent="0.3">
      <c r="B166" s="155"/>
      <c r="D166" s="156" t="s">
        <v>195</v>
      </c>
      <c r="E166" s="157" t="s">
        <v>1</v>
      </c>
      <c r="F166" s="158" t="s">
        <v>457</v>
      </c>
      <c r="H166" s="159">
        <v>75.653999999999996</v>
      </c>
      <c r="I166" s="160"/>
      <c r="L166" s="155"/>
      <c r="M166" s="161"/>
      <c r="T166" s="162"/>
      <c r="AT166" s="157" t="s">
        <v>195</v>
      </c>
      <c r="AU166" s="157" t="s">
        <v>20</v>
      </c>
      <c r="AV166" s="12" t="s">
        <v>20</v>
      </c>
      <c r="AW166" s="12" t="s">
        <v>37</v>
      </c>
      <c r="AX166" s="12" t="s">
        <v>88</v>
      </c>
      <c r="AY166" s="157" t="s">
        <v>184</v>
      </c>
    </row>
    <row r="167" spans="2:65" s="11" customFormat="1" ht="22.9" customHeight="1" x14ac:dyDescent="0.2">
      <c r="B167" s="127"/>
      <c r="D167" s="128" t="s">
        <v>80</v>
      </c>
      <c r="E167" s="136" t="s">
        <v>245</v>
      </c>
      <c r="F167" s="136" t="s">
        <v>304</v>
      </c>
      <c r="I167" s="171"/>
      <c r="J167" s="137">
        <f>BK167</f>
        <v>34410.110000000008</v>
      </c>
      <c r="L167" s="127"/>
      <c r="M167" s="131"/>
      <c r="P167" s="132">
        <f>SUM(P168:P188)</f>
        <v>15.599760000000002</v>
      </c>
      <c r="R167" s="132">
        <f>SUM(R168:R188)</f>
        <v>10.990712299999998</v>
      </c>
      <c r="T167" s="133">
        <f>SUM(T168:T188)</f>
        <v>2.3159999999999998</v>
      </c>
      <c r="AR167" s="128" t="s">
        <v>88</v>
      </c>
      <c r="AT167" s="134" t="s">
        <v>80</v>
      </c>
      <c r="AU167" s="134" t="s">
        <v>88</v>
      </c>
      <c r="AY167" s="128" t="s">
        <v>184</v>
      </c>
      <c r="BK167" s="135">
        <f>SUM(BK168:BK188)</f>
        <v>34410.110000000008</v>
      </c>
    </row>
    <row r="168" spans="2:65" s="1" customFormat="1" ht="16.5" customHeight="1" x14ac:dyDescent="0.3">
      <c r="B168" s="33"/>
      <c r="C168" s="138" t="s">
        <v>7</v>
      </c>
      <c r="D168" s="138" t="s">
        <v>186</v>
      </c>
      <c r="E168" s="139" t="s">
        <v>458</v>
      </c>
      <c r="F168" s="140" t="s">
        <v>459</v>
      </c>
      <c r="G168" s="141" t="s">
        <v>210</v>
      </c>
      <c r="H168" s="142">
        <v>8</v>
      </c>
      <c r="I168" s="143">
        <v>106.9</v>
      </c>
      <c r="J168" s="144">
        <f>ROUND(I168*H168,2)</f>
        <v>855.2</v>
      </c>
      <c r="K168" s="140" t="s">
        <v>190</v>
      </c>
      <c r="L168" s="33"/>
      <c r="M168" s="145" t="s">
        <v>1</v>
      </c>
      <c r="N168" s="146" t="s">
        <v>47</v>
      </c>
      <c r="O168" s="147">
        <v>3.0000000000000001E-3</v>
      </c>
      <c r="P168" s="147">
        <f>O168*H168</f>
        <v>2.4E-2</v>
      </c>
      <c r="Q168" s="147">
        <v>2.0000000000000001E-4</v>
      </c>
      <c r="R168" s="147">
        <f>Q168*H168</f>
        <v>1.6000000000000001E-3</v>
      </c>
      <c r="S168" s="147">
        <v>0</v>
      </c>
      <c r="T168" s="148">
        <f>S168*H168</f>
        <v>0</v>
      </c>
      <c r="AR168" s="149" t="s">
        <v>191</v>
      </c>
      <c r="AT168" s="149" t="s">
        <v>186</v>
      </c>
      <c r="AU168" s="149" t="s">
        <v>20</v>
      </c>
      <c r="AY168" s="18" t="s">
        <v>184</v>
      </c>
      <c r="BE168" s="150">
        <f>IF(N168="základní",J168,0)</f>
        <v>855.2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8" t="s">
        <v>88</v>
      </c>
      <c r="BK168" s="150">
        <f>ROUND(I168*H168,2)</f>
        <v>855.2</v>
      </c>
      <c r="BL168" s="18" t="s">
        <v>191</v>
      </c>
      <c r="BM168" s="149" t="s">
        <v>460</v>
      </c>
    </row>
    <row r="169" spans="2:65" s="1" customFormat="1" x14ac:dyDescent="0.3">
      <c r="B169" s="33"/>
      <c r="D169" s="151" t="s">
        <v>193</v>
      </c>
      <c r="F169" s="152" t="s">
        <v>461</v>
      </c>
      <c r="I169" s="153"/>
      <c r="L169" s="33"/>
      <c r="M169" s="154"/>
      <c r="T169" s="57"/>
      <c r="AT169" s="18" t="s">
        <v>193</v>
      </c>
      <c r="AU169" s="18" t="s">
        <v>20</v>
      </c>
    </row>
    <row r="170" spans="2:65" s="12" customFormat="1" ht="11.25" x14ac:dyDescent="0.3">
      <c r="B170" s="155"/>
      <c r="D170" s="156" t="s">
        <v>195</v>
      </c>
      <c r="E170" s="157" t="s">
        <v>1</v>
      </c>
      <c r="F170" s="158" t="s">
        <v>462</v>
      </c>
      <c r="H170" s="159">
        <v>8</v>
      </c>
      <c r="I170" s="160"/>
      <c r="L170" s="155"/>
      <c r="M170" s="161"/>
      <c r="T170" s="162"/>
      <c r="AT170" s="157" t="s">
        <v>195</v>
      </c>
      <c r="AU170" s="157" t="s">
        <v>20</v>
      </c>
      <c r="AV170" s="12" t="s">
        <v>20</v>
      </c>
      <c r="AW170" s="12" t="s">
        <v>37</v>
      </c>
      <c r="AX170" s="12" t="s">
        <v>88</v>
      </c>
      <c r="AY170" s="157" t="s">
        <v>184</v>
      </c>
    </row>
    <row r="171" spans="2:65" s="1" customFormat="1" ht="16.5" customHeight="1" x14ac:dyDescent="0.3">
      <c r="B171" s="33"/>
      <c r="C171" s="138" t="s">
        <v>287</v>
      </c>
      <c r="D171" s="138" t="s">
        <v>186</v>
      </c>
      <c r="E171" s="139" t="s">
        <v>463</v>
      </c>
      <c r="F171" s="140" t="s">
        <v>464</v>
      </c>
      <c r="G171" s="141" t="s">
        <v>210</v>
      </c>
      <c r="H171" s="142">
        <v>8</v>
      </c>
      <c r="I171" s="143">
        <v>15.29</v>
      </c>
      <c r="J171" s="144">
        <f>ROUND(I171*H171,2)</f>
        <v>122.32</v>
      </c>
      <c r="K171" s="140" t="s">
        <v>190</v>
      </c>
      <c r="L171" s="33"/>
      <c r="M171" s="145" t="s">
        <v>1</v>
      </c>
      <c r="N171" s="146" t="s">
        <v>47</v>
      </c>
      <c r="O171" s="147">
        <v>1.6E-2</v>
      </c>
      <c r="P171" s="147">
        <f>O171*H171</f>
        <v>0.128</v>
      </c>
      <c r="Q171" s="147">
        <v>0</v>
      </c>
      <c r="R171" s="147">
        <f>Q171*H171</f>
        <v>0</v>
      </c>
      <c r="S171" s="147">
        <v>0</v>
      </c>
      <c r="T171" s="148">
        <f>S171*H171</f>
        <v>0</v>
      </c>
      <c r="AR171" s="149" t="s">
        <v>191</v>
      </c>
      <c r="AT171" s="149" t="s">
        <v>186</v>
      </c>
      <c r="AU171" s="149" t="s">
        <v>20</v>
      </c>
      <c r="AY171" s="18" t="s">
        <v>184</v>
      </c>
      <c r="BE171" s="150">
        <f>IF(N171="základní",J171,0)</f>
        <v>122.32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8" t="s">
        <v>88</v>
      </c>
      <c r="BK171" s="150">
        <f>ROUND(I171*H171,2)</f>
        <v>122.32</v>
      </c>
      <c r="BL171" s="18" t="s">
        <v>191</v>
      </c>
      <c r="BM171" s="149" t="s">
        <v>465</v>
      </c>
    </row>
    <row r="172" spans="2:65" s="1" customFormat="1" x14ac:dyDescent="0.3">
      <c r="B172" s="33"/>
      <c r="D172" s="151" t="s">
        <v>193</v>
      </c>
      <c r="F172" s="152" t="s">
        <v>466</v>
      </c>
      <c r="I172" s="153"/>
      <c r="L172" s="33"/>
      <c r="M172" s="154"/>
      <c r="T172" s="57"/>
      <c r="AT172" s="18" t="s">
        <v>193</v>
      </c>
      <c r="AU172" s="18" t="s">
        <v>20</v>
      </c>
    </row>
    <row r="173" spans="2:65" s="1" customFormat="1" ht="16.5" customHeight="1" x14ac:dyDescent="0.3">
      <c r="B173" s="33"/>
      <c r="C173" s="138" t="s">
        <v>293</v>
      </c>
      <c r="D173" s="138" t="s">
        <v>186</v>
      </c>
      <c r="E173" s="139" t="s">
        <v>306</v>
      </c>
      <c r="F173" s="140" t="s">
        <v>307</v>
      </c>
      <c r="G173" s="141" t="s">
        <v>210</v>
      </c>
      <c r="H173" s="142">
        <v>53.32</v>
      </c>
      <c r="I173" s="143">
        <v>414.33</v>
      </c>
      <c r="J173" s="144">
        <f>ROUND(I173*H173,2)</f>
        <v>22092.080000000002</v>
      </c>
      <c r="K173" s="140" t="s">
        <v>190</v>
      </c>
      <c r="L173" s="33"/>
      <c r="M173" s="145" t="s">
        <v>1</v>
      </c>
      <c r="N173" s="146" t="s">
        <v>47</v>
      </c>
      <c r="O173" s="147">
        <v>0.26800000000000002</v>
      </c>
      <c r="P173" s="147">
        <f>O173*H173</f>
        <v>14.289760000000001</v>
      </c>
      <c r="Q173" s="147">
        <v>0.15540000000000001</v>
      </c>
      <c r="R173" s="147">
        <f>Q173*H173</f>
        <v>8.2859280000000002</v>
      </c>
      <c r="S173" s="147">
        <v>0</v>
      </c>
      <c r="T173" s="148">
        <f>S173*H173</f>
        <v>0</v>
      </c>
      <c r="AR173" s="149" t="s">
        <v>191</v>
      </c>
      <c r="AT173" s="149" t="s">
        <v>186</v>
      </c>
      <c r="AU173" s="149" t="s">
        <v>20</v>
      </c>
      <c r="AY173" s="18" t="s">
        <v>184</v>
      </c>
      <c r="BE173" s="150">
        <f>IF(N173="základní",J173,0)</f>
        <v>22092.080000000002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8" t="s">
        <v>88</v>
      </c>
      <c r="BK173" s="150">
        <f>ROUND(I173*H173,2)</f>
        <v>22092.080000000002</v>
      </c>
      <c r="BL173" s="18" t="s">
        <v>191</v>
      </c>
      <c r="BM173" s="149" t="s">
        <v>467</v>
      </c>
    </row>
    <row r="174" spans="2:65" s="1" customFormat="1" x14ac:dyDescent="0.3">
      <c r="B174" s="33"/>
      <c r="D174" s="151" t="s">
        <v>193</v>
      </c>
      <c r="F174" s="152" t="s">
        <v>309</v>
      </c>
      <c r="I174" s="153"/>
      <c r="L174" s="33"/>
      <c r="M174" s="154"/>
      <c r="T174" s="57"/>
      <c r="AT174" s="18" t="s">
        <v>193</v>
      </c>
      <c r="AU174" s="18" t="s">
        <v>20</v>
      </c>
    </row>
    <row r="175" spans="2:65" s="12" customFormat="1" ht="11.25" x14ac:dyDescent="0.3">
      <c r="B175" s="155"/>
      <c r="D175" s="156" t="s">
        <v>195</v>
      </c>
      <c r="E175" s="157" t="s">
        <v>1</v>
      </c>
      <c r="F175" s="158" t="s">
        <v>468</v>
      </c>
      <c r="H175" s="159">
        <v>53.32</v>
      </c>
      <c r="I175" s="160"/>
      <c r="L175" s="155"/>
      <c r="M175" s="161"/>
      <c r="T175" s="162"/>
      <c r="AT175" s="157" t="s">
        <v>195</v>
      </c>
      <c r="AU175" s="157" t="s">
        <v>20</v>
      </c>
      <c r="AV175" s="12" t="s">
        <v>20</v>
      </c>
      <c r="AW175" s="12" t="s">
        <v>37</v>
      </c>
      <c r="AX175" s="12" t="s">
        <v>88</v>
      </c>
      <c r="AY175" s="157" t="s">
        <v>184</v>
      </c>
    </row>
    <row r="176" spans="2:65" s="1" customFormat="1" ht="16.5" customHeight="1" x14ac:dyDescent="0.3">
      <c r="B176" s="33"/>
      <c r="C176" s="172" t="s">
        <v>299</v>
      </c>
      <c r="D176" s="172" t="s">
        <v>271</v>
      </c>
      <c r="E176" s="173" t="s">
        <v>312</v>
      </c>
      <c r="F176" s="174" t="s">
        <v>313</v>
      </c>
      <c r="G176" s="175" t="s">
        <v>210</v>
      </c>
      <c r="H176" s="176">
        <v>4.08</v>
      </c>
      <c r="I176" s="177">
        <v>182.84</v>
      </c>
      <c r="J176" s="178">
        <f>ROUND(I176*H176,2)</f>
        <v>745.99</v>
      </c>
      <c r="K176" s="174" t="s">
        <v>190</v>
      </c>
      <c r="L176" s="179"/>
      <c r="M176" s="180" t="s">
        <v>1</v>
      </c>
      <c r="N176" s="181" t="s">
        <v>47</v>
      </c>
      <c r="O176" s="147">
        <v>0</v>
      </c>
      <c r="P176" s="147">
        <f>O176*H176</f>
        <v>0</v>
      </c>
      <c r="Q176" s="147">
        <v>0.08</v>
      </c>
      <c r="R176" s="147">
        <f>Q176*H176</f>
        <v>0.32640000000000002</v>
      </c>
      <c r="S176" s="147">
        <v>0</v>
      </c>
      <c r="T176" s="148">
        <f>S176*H176</f>
        <v>0</v>
      </c>
      <c r="AR176" s="149" t="s">
        <v>239</v>
      </c>
      <c r="AT176" s="149" t="s">
        <v>271</v>
      </c>
      <c r="AU176" s="149" t="s">
        <v>20</v>
      </c>
      <c r="AY176" s="18" t="s">
        <v>184</v>
      </c>
      <c r="BE176" s="150">
        <f>IF(N176="základní",J176,0)</f>
        <v>745.99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8" t="s">
        <v>88</v>
      </c>
      <c r="BK176" s="150">
        <f>ROUND(I176*H176,2)</f>
        <v>745.99</v>
      </c>
      <c r="BL176" s="18" t="s">
        <v>191</v>
      </c>
      <c r="BM176" s="149" t="s">
        <v>469</v>
      </c>
    </row>
    <row r="177" spans="2:65" s="12" customFormat="1" ht="11.25" x14ac:dyDescent="0.3">
      <c r="B177" s="155"/>
      <c r="D177" s="156" t="s">
        <v>195</v>
      </c>
      <c r="E177" s="157" t="s">
        <v>1</v>
      </c>
      <c r="F177" s="158" t="s">
        <v>470</v>
      </c>
      <c r="H177" s="159">
        <v>4</v>
      </c>
      <c r="I177" s="160"/>
      <c r="L177" s="155"/>
      <c r="M177" s="161"/>
      <c r="T177" s="162"/>
      <c r="AT177" s="157" t="s">
        <v>195</v>
      </c>
      <c r="AU177" s="157" t="s">
        <v>20</v>
      </c>
      <c r="AV177" s="12" t="s">
        <v>20</v>
      </c>
      <c r="AW177" s="12" t="s">
        <v>37</v>
      </c>
      <c r="AX177" s="12" t="s">
        <v>81</v>
      </c>
      <c r="AY177" s="157" t="s">
        <v>184</v>
      </c>
    </row>
    <row r="178" spans="2:65" s="12" customFormat="1" ht="11.25" x14ac:dyDescent="0.3">
      <c r="B178" s="155"/>
      <c r="D178" s="156" t="s">
        <v>195</v>
      </c>
      <c r="E178" s="157" t="s">
        <v>1</v>
      </c>
      <c r="F178" s="158" t="s">
        <v>471</v>
      </c>
      <c r="H178" s="159">
        <v>4.08</v>
      </c>
      <c r="I178" s="160"/>
      <c r="L178" s="155"/>
      <c r="M178" s="161"/>
      <c r="T178" s="162"/>
      <c r="AT178" s="157" t="s">
        <v>195</v>
      </c>
      <c r="AU178" s="157" t="s">
        <v>20</v>
      </c>
      <c r="AV178" s="12" t="s">
        <v>20</v>
      </c>
      <c r="AW178" s="12" t="s">
        <v>37</v>
      </c>
      <c r="AX178" s="12" t="s">
        <v>88</v>
      </c>
      <c r="AY178" s="157" t="s">
        <v>184</v>
      </c>
    </row>
    <row r="179" spans="2:65" s="1" customFormat="1" ht="16.5" customHeight="1" x14ac:dyDescent="0.3">
      <c r="B179" s="33"/>
      <c r="C179" s="172" t="s">
        <v>305</v>
      </c>
      <c r="D179" s="172" t="s">
        <v>271</v>
      </c>
      <c r="E179" s="173" t="s">
        <v>317</v>
      </c>
      <c r="F179" s="174" t="s">
        <v>318</v>
      </c>
      <c r="G179" s="175" t="s">
        <v>210</v>
      </c>
      <c r="H179" s="176">
        <v>6.3849999999999998</v>
      </c>
      <c r="I179" s="177">
        <v>228.36</v>
      </c>
      <c r="J179" s="178">
        <f>ROUND(I179*H179,2)</f>
        <v>1458.08</v>
      </c>
      <c r="K179" s="174" t="s">
        <v>190</v>
      </c>
      <c r="L179" s="179"/>
      <c r="M179" s="180" t="s">
        <v>1</v>
      </c>
      <c r="N179" s="181" t="s">
        <v>47</v>
      </c>
      <c r="O179" s="147">
        <v>0</v>
      </c>
      <c r="P179" s="147">
        <f>O179*H179</f>
        <v>0</v>
      </c>
      <c r="Q179" s="147">
        <v>0.04</v>
      </c>
      <c r="R179" s="147">
        <f>Q179*H179</f>
        <v>0.25540000000000002</v>
      </c>
      <c r="S179" s="147">
        <v>0</v>
      </c>
      <c r="T179" s="148">
        <f>S179*H179</f>
        <v>0</v>
      </c>
      <c r="AR179" s="149" t="s">
        <v>239</v>
      </c>
      <c r="AT179" s="149" t="s">
        <v>271</v>
      </c>
      <c r="AU179" s="149" t="s">
        <v>20</v>
      </c>
      <c r="AY179" s="18" t="s">
        <v>184</v>
      </c>
      <c r="BE179" s="150">
        <f>IF(N179="základní",J179,0)</f>
        <v>1458.08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8" t="s">
        <v>88</v>
      </c>
      <c r="BK179" s="150">
        <f>ROUND(I179*H179,2)</f>
        <v>1458.08</v>
      </c>
      <c r="BL179" s="18" t="s">
        <v>191</v>
      </c>
      <c r="BM179" s="149" t="s">
        <v>472</v>
      </c>
    </row>
    <row r="180" spans="2:65" s="12" customFormat="1" ht="11.25" x14ac:dyDescent="0.3">
      <c r="B180" s="155"/>
      <c r="D180" s="156" t="s">
        <v>195</v>
      </c>
      <c r="E180" s="157" t="s">
        <v>1</v>
      </c>
      <c r="F180" s="158" t="s">
        <v>473</v>
      </c>
      <c r="H180" s="159">
        <v>6.26</v>
      </c>
      <c r="I180" s="160"/>
      <c r="L180" s="155"/>
      <c r="M180" s="161"/>
      <c r="T180" s="162"/>
      <c r="AT180" s="157" t="s">
        <v>195</v>
      </c>
      <c r="AU180" s="157" t="s">
        <v>20</v>
      </c>
      <c r="AV180" s="12" t="s">
        <v>20</v>
      </c>
      <c r="AW180" s="12" t="s">
        <v>37</v>
      </c>
      <c r="AX180" s="12" t="s">
        <v>81</v>
      </c>
      <c r="AY180" s="157" t="s">
        <v>184</v>
      </c>
    </row>
    <row r="181" spans="2:65" s="12" customFormat="1" ht="11.25" x14ac:dyDescent="0.3">
      <c r="B181" s="155"/>
      <c r="D181" s="156" t="s">
        <v>195</v>
      </c>
      <c r="E181" s="157" t="s">
        <v>1</v>
      </c>
      <c r="F181" s="158" t="s">
        <v>474</v>
      </c>
      <c r="H181" s="159">
        <v>6.3849999999999998</v>
      </c>
      <c r="I181" s="160"/>
      <c r="L181" s="155"/>
      <c r="M181" s="161"/>
      <c r="T181" s="162"/>
      <c r="AT181" s="157" t="s">
        <v>195</v>
      </c>
      <c r="AU181" s="157" t="s">
        <v>20</v>
      </c>
      <c r="AV181" s="12" t="s">
        <v>20</v>
      </c>
      <c r="AW181" s="12" t="s">
        <v>37</v>
      </c>
      <c r="AX181" s="12" t="s">
        <v>88</v>
      </c>
      <c r="AY181" s="157" t="s">
        <v>184</v>
      </c>
    </row>
    <row r="182" spans="2:65" s="1" customFormat="1" ht="16.5" customHeight="1" x14ac:dyDescent="0.3">
      <c r="B182" s="33"/>
      <c r="C182" s="172" t="s">
        <v>311</v>
      </c>
      <c r="D182" s="172" t="s">
        <v>271</v>
      </c>
      <c r="E182" s="173" t="s">
        <v>323</v>
      </c>
      <c r="F182" s="174" t="s">
        <v>324</v>
      </c>
      <c r="G182" s="175" t="s">
        <v>210</v>
      </c>
      <c r="H182" s="176">
        <v>43.920999999999999</v>
      </c>
      <c r="I182" s="177">
        <v>143.6</v>
      </c>
      <c r="J182" s="178">
        <f>ROUND(I182*H182,2)</f>
        <v>6307.06</v>
      </c>
      <c r="K182" s="174" t="s">
        <v>190</v>
      </c>
      <c r="L182" s="179"/>
      <c r="M182" s="180" t="s">
        <v>1</v>
      </c>
      <c r="N182" s="181" t="s">
        <v>47</v>
      </c>
      <c r="O182" s="147">
        <v>0</v>
      </c>
      <c r="P182" s="147">
        <f>O182*H182</f>
        <v>0</v>
      </c>
      <c r="Q182" s="147">
        <v>4.8300000000000003E-2</v>
      </c>
      <c r="R182" s="147">
        <f>Q182*H182</f>
        <v>2.1213842999999999</v>
      </c>
      <c r="S182" s="147">
        <v>0</v>
      </c>
      <c r="T182" s="148">
        <f>S182*H182</f>
        <v>0</v>
      </c>
      <c r="AR182" s="149" t="s">
        <v>239</v>
      </c>
      <c r="AT182" s="149" t="s">
        <v>271</v>
      </c>
      <c r="AU182" s="149" t="s">
        <v>20</v>
      </c>
      <c r="AY182" s="18" t="s">
        <v>184</v>
      </c>
      <c r="BE182" s="150">
        <f>IF(N182="základní",J182,0)</f>
        <v>6307.06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8" t="s">
        <v>88</v>
      </c>
      <c r="BK182" s="150">
        <f>ROUND(I182*H182,2)</f>
        <v>6307.06</v>
      </c>
      <c r="BL182" s="18" t="s">
        <v>191</v>
      </c>
      <c r="BM182" s="149" t="s">
        <v>475</v>
      </c>
    </row>
    <row r="183" spans="2:65" s="12" customFormat="1" ht="11.25" x14ac:dyDescent="0.3">
      <c r="B183" s="155"/>
      <c r="D183" s="156" t="s">
        <v>195</v>
      </c>
      <c r="E183" s="157" t="s">
        <v>1</v>
      </c>
      <c r="F183" s="158" t="s">
        <v>476</v>
      </c>
      <c r="H183" s="159">
        <v>43.06</v>
      </c>
      <c r="I183" s="160"/>
      <c r="L183" s="155"/>
      <c r="M183" s="161"/>
      <c r="T183" s="162"/>
      <c r="AT183" s="157" t="s">
        <v>195</v>
      </c>
      <c r="AU183" s="157" t="s">
        <v>20</v>
      </c>
      <c r="AV183" s="12" t="s">
        <v>20</v>
      </c>
      <c r="AW183" s="12" t="s">
        <v>37</v>
      </c>
      <c r="AX183" s="12" t="s">
        <v>81</v>
      </c>
      <c r="AY183" s="157" t="s">
        <v>184</v>
      </c>
    </row>
    <row r="184" spans="2:65" s="12" customFormat="1" ht="11.25" x14ac:dyDescent="0.3">
      <c r="B184" s="155"/>
      <c r="D184" s="156" t="s">
        <v>195</v>
      </c>
      <c r="E184" s="157" t="s">
        <v>1</v>
      </c>
      <c r="F184" s="158" t="s">
        <v>477</v>
      </c>
      <c r="H184" s="159">
        <v>43.920999999999999</v>
      </c>
      <c r="I184" s="160"/>
      <c r="L184" s="155"/>
      <c r="M184" s="161"/>
      <c r="T184" s="162"/>
      <c r="AT184" s="157" t="s">
        <v>195</v>
      </c>
      <c r="AU184" s="157" t="s">
        <v>20</v>
      </c>
      <c r="AV184" s="12" t="s">
        <v>20</v>
      </c>
      <c r="AW184" s="12" t="s">
        <v>37</v>
      </c>
      <c r="AX184" s="12" t="s">
        <v>88</v>
      </c>
      <c r="AY184" s="157" t="s">
        <v>184</v>
      </c>
    </row>
    <row r="185" spans="2:65" s="1" customFormat="1" ht="16.5" customHeight="1" x14ac:dyDescent="0.3">
      <c r="B185" s="33"/>
      <c r="C185" s="138" t="s">
        <v>6</v>
      </c>
      <c r="D185" s="138" t="s">
        <v>186</v>
      </c>
      <c r="E185" s="139" t="s">
        <v>478</v>
      </c>
      <c r="F185" s="140" t="s">
        <v>479</v>
      </c>
      <c r="G185" s="141" t="s">
        <v>189</v>
      </c>
      <c r="H185" s="142">
        <v>77.2</v>
      </c>
      <c r="I185" s="143">
        <v>30.54</v>
      </c>
      <c r="J185" s="144">
        <f>ROUND(I185*H185,2)</f>
        <v>2357.69</v>
      </c>
      <c r="K185" s="140" t="s">
        <v>190</v>
      </c>
      <c r="L185" s="33"/>
      <c r="M185" s="145" t="s">
        <v>1</v>
      </c>
      <c r="N185" s="146" t="s">
        <v>47</v>
      </c>
      <c r="O185" s="147">
        <v>1.2999999999999999E-2</v>
      </c>
      <c r="P185" s="147">
        <f>O185*H185</f>
        <v>1.0036</v>
      </c>
      <c r="Q185" s="147">
        <v>0</v>
      </c>
      <c r="R185" s="147">
        <f>Q185*H185</f>
        <v>0</v>
      </c>
      <c r="S185" s="147">
        <v>0.01</v>
      </c>
      <c r="T185" s="148">
        <f>S185*H185</f>
        <v>0.77200000000000002</v>
      </c>
      <c r="AR185" s="149" t="s">
        <v>191</v>
      </c>
      <c r="AT185" s="149" t="s">
        <v>186</v>
      </c>
      <c r="AU185" s="149" t="s">
        <v>20</v>
      </c>
      <c r="AY185" s="18" t="s">
        <v>184</v>
      </c>
      <c r="BE185" s="150">
        <f>IF(N185="základní",J185,0)</f>
        <v>2357.69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8" t="s">
        <v>88</v>
      </c>
      <c r="BK185" s="150">
        <f>ROUND(I185*H185,2)</f>
        <v>2357.69</v>
      </c>
      <c r="BL185" s="18" t="s">
        <v>191</v>
      </c>
      <c r="BM185" s="149" t="s">
        <v>480</v>
      </c>
    </row>
    <row r="186" spans="2:65" s="1" customFormat="1" x14ac:dyDescent="0.3">
      <c r="B186" s="33"/>
      <c r="D186" s="151" t="s">
        <v>193</v>
      </c>
      <c r="F186" s="152" t="s">
        <v>481</v>
      </c>
      <c r="I186" s="153"/>
      <c r="L186" s="33"/>
      <c r="M186" s="154"/>
      <c r="T186" s="57"/>
      <c r="AT186" s="18" t="s">
        <v>193</v>
      </c>
      <c r="AU186" s="18" t="s">
        <v>20</v>
      </c>
    </row>
    <row r="187" spans="2:65" s="1" customFormat="1" ht="16.5" customHeight="1" x14ac:dyDescent="0.3">
      <c r="B187" s="33"/>
      <c r="C187" s="138" t="s">
        <v>322</v>
      </c>
      <c r="D187" s="138" t="s">
        <v>186</v>
      </c>
      <c r="E187" s="139" t="s">
        <v>482</v>
      </c>
      <c r="F187" s="140" t="s">
        <v>483</v>
      </c>
      <c r="G187" s="141" t="s">
        <v>189</v>
      </c>
      <c r="H187" s="142">
        <v>77.2</v>
      </c>
      <c r="I187" s="143">
        <v>6.11</v>
      </c>
      <c r="J187" s="144">
        <f>ROUND(I187*H187,2)</f>
        <v>471.69</v>
      </c>
      <c r="K187" s="140" t="s">
        <v>190</v>
      </c>
      <c r="L187" s="33"/>
      <c r="M187" s="145" t="s">
        <v>1</v>
      </c>
      <c r="N187" s="146" t="s">
        <v>47</v>
      </c>
      <c r="O187" s="147">
        <v>2E-3</v>
      </c>
      <c r="P187" s="147">
        <f>O187*H187</f>
        <v>0.15440000000000001</v>
      </c>
      <c r="Q187" s="147">
        <v>0</v>
      </c>
      <c r="R187" s="147">
        <f>Q187*H187</f>
        <v>0</v>
      </c>
      <c r="S187" s="147">
        <v>0.02</v>
      </c>
      <c r="T187" s="148">
        <f>S187*H187</f>
        <v>1.544</v>
      </c>
      <c r="AR187" s="149" t="s">
        <v>191</v>
      </c>
      <c r="AT187" s="149" t="s">
        <v>186</v>
      </c>
      <c r="AU187" s="149" t="s">
        <v>20</v>
      </c>
      <c r="AY187" s="18" t="s">
        <v>184</v>
      </c>
      <c r="BE187" s="150">
        <f>IF(N187="základní",J187,0)</f>
        <v>471.69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8" t="s">
        <v>88</v>
      </c>
      <c r="BK187" s="150">
        <f>ROUND(I187*H187,2)</f>
        <v>471.69</v>
      </c>
      <c r="BL187" s="18" t="s">
        <v>191</v>
      </c>
      <c r="BM187" s="149" t="s">
        <v>484</v>
      </c>
    </row>
    <row r="188" spans="2:65" s="1" customFormat="1" x14ac:dyDescent="0.3">
      <c r="B188" s="33"/>
      <c r="D188" s="151" t="s">
        <v>193</v>
      </c>
      <c r="F188" s="152" t="s">
        <v>485</v>
      </c>
      <c r="I188" s="153"/>
      <c r="L188" s="33"/>
      <c r="M188" s="154"/>
      <c r="T188" s="57"/>
      <c r="AT188" s="18" t="s">
        <v>193</v>
      </c>
      <c r="AU188" s="18" t="s">
        <v>20</v>
      </c>
    </row>
    <row r="189" spans="2:65" s="11" customFormat="1" ht="22.9" customHeight="1" x14ac:dyDescent="0.2">
      <c r="B189" s="127"/>
      <c r="D189" s="128" t="s">
        <v>80</v>
      </c>
      <c r="E189" s="136" t="s">
        <v>358</v>
      </c>
      <c r="F189" s="136" t="s">
        <v>359</v>
      </c>
      <c r="I189" s="171"/>
      <c r="J189" s="137">
        <f>BK189</f>
        <v>51563.78</v>
      </c>
      <c r="L189" s="127"/>
      <c r="M189" s="131"/>
      <c r="P189" s="132">
        <f>SUM(P190:P197)</f>
        <v>167.42740800000001</v>
      </c>
      <c r="R189" s="132">
        <f>SUM(R190:R197)</f>
        <v>0</v>
      </c>
      <c r="T189" s="133">
        <f>SUM(T190:T197)</f>
        <v>0</v>
      </c>
      <c r="AR189" s="128" t="s">
        <v>88</v>
      </c>
      <c r="AT189" s="134" t="s">
        <v>80</v>
      </c>
      <c r="AU189" s="134" t="s">
        <v>88</v>
      </c>
      <c r="AY189" s="128" t="s">
        <v>184</v>
      </c>
      <c r="BK189" s="135">
        <f>SUM(BK190:BK197)</f>
        <v>51563.78</v>
      </c>
    </row>
    <row r="190" spans="2:65" s="1" customFormat="1" ht="16.5" customHeight="1" x14ac:dyDescent="0.3">
      <c r="B190" s="33"/>
      <c r="C190" s="138" t="s">
        <v>328</v>
      </c>
      <c r="D190" s="138" t="s">
        <v>186</v>
      </c>
      <c r="E190" s="139" t="s">
        <v>361</v>
      </c>
      <c r="F190" s="140" t="s">
        <v>362</v>
      </c>
      <c r="G190" s="141" t="s">
        <v>248</v>
      </c>
      <c r="H190" s="142">
        <v>168.904</v>
      </c>
      <c r="I190" s="143">
        <v>178.35</v>
      </c>
      <c r="J190" s="144">
        <f>ROUND(I190*H190,2)</f>
        <v>30124.03</v>
      </c>
      <c r="K190" s="140" t="s">
        <v>190</v>
      </c>
      <c r="L190" s="33"/>
      <c r="M190" s="145" t="s">
        <v>1</v>
      </c>
      <c r="N190" s="146" t="s">
        <v>47</v>
      </c>
      <c r="O190" s="147">
        <v>0.83499999999999996</v>
      </c>
      <c r="P190" s="147">
        <f>O190*H190</f>
        <v>141.03484</v>
      </c>
      <c r="Q190" s="147">
        <v>0</v>
      </c>
      <c r="R190" s="147">
        <f>Q190*H190</f>
        <v>0</v>
      </c>
      <c r="S190" s="147">
        <v>0</v>
      </c>
      <c r="T190" s="148">
        <f>S190*H190</f>
        <v>0</v>
      </c>
      <c r="AR190" s="149" t="s">
        <v>191</v>
      </c>
      <c r="AT190" s="149" t="s">
        <v>186</v>
      </c>
      <c r="AU190" s="149" t="s">
        <v>20</v>
      </c>
      <c r="AY190" s="18" t="s">
        <v>184</v>
      </c>
      <c r="BE190" s="150">
        <f>IF(N190="základní",J190,0)</f>
        <v>30124.03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8" t="s">
        <v>88</v>
      </c>
      <c r="BK190" s="150">
        <f>ROUND(I190*H190,2)</f>
        <v>30124.03</v>
      </c>
      <c r="BL190" s="18" t="s">
        <v>191</v>
      </c>
      <c r="BM190" s="149" t="s">
        <v>486</v>
      </c>
    </row>
    <row r="191" spans="2:65" s="1" customFormat="1" x14ac:dyDescent="0.3">
      <c r="B191" s="33"/>
      <c r="D191" s="151" t="s">
        <v>193</v>
      </c>
      <c r="F191" s="152" t="s">
        <v>364</v>
      </c>
      <c r="I191" s="153"/>
      <c r="L191" s="33"/>
      <c r="M191" s="154"/>
      <c r="T191" s="57"/>
      <c r="AT191" s="18" t="s">
        <v>193</v>
      </c>
      <c r="AU191" s="18" t="s">
        <v>20</v>
      </c>
    </row>
    <row r="192" spans="2:65" s="12" customFormat="1" ht="11.25" x14ac:dyDescent="0.3">
      <c r="B192" s="155"/>
      <c r="D192" s="156" t="s">
        <v>195</v>
      </c>
      <c r="E192" s="157" t="s">
        <v>1</v>
      </c>
      <c r="F192" s="158" t="s">
        <v>487</v>
      </c>
      <c r="H192" s="159">
        <v>140.386</v>
      </c>
      <c r="I192" s="160"/>
      <c r="L192" s="155"/>
      <c r="M192" s="161"/>
      <c r="T192" s="162"/>
      <c r="AT192" s="157" t="s">
        <v>195</v>
      </c>
      <c r="AU192" s="157" t="s">
        <v>20</v>
      </c>
      <c r="AV192" s="12" t="s">
        <v>20</v>
      </c>
      <c r="AW192" s="12" t="s">
        <v>37</v>
      </c>
      <c r="AX192" s="12" t="s">
        <v>81</v>
      </c>
      <c r="AY192" s="157" t="s">
        <v>184</v>
      </c>
    </row>
    <row r="193" spans="2:65" s="12" customFormat="1" ht="11.25" x14ac:dyDescent="0.3">
      <c r="B193" s="155"/>
      <c r="D193" s="156" t="s">
        <v>195</v>
      </c>
      <c r="E193" s="157" t="s">
        <v>1</v>
      </c>
      <c r="F193" s="158" t="s">
        <v>488</v>
      </c>
      <c r="H193" s="159">
        <v>28.518000000000001</v>
      </c>
      <c r="I193" s="160"/>
      <c r="L193" s="155"/>
      <c r="M193" s="161"/>
      <c r="T193" s="162"/>
      <c r="AT193" s="157" t="s">
        <v>195</v>
      </c>
      <c r="AU193" s="157" t="s">
        <v>20</v>
      </c>
      <c r="AV193" s="12" t="s">
        <v>20</v>
      </c>
      <c r="AW193" s="12" t="s">
        <v>37</v>
      </c>
      <c r="AX193" s="12" t="s">
        <v>81</v>
      </c>
      <c r="AY193" s="157" t="s">
        <v>184</v>
      </c>
    </row>
    <row r="194" spans="2:65" s="13" customFormat="1" ht="11.25" x14ac:dyDescent="0.3">
      <c r="B194" s="163"/>
      <c r="D194" s="156" t="s">
        <v>195</v>
      </c>
      <c r="E194" s="164" t="s">
        <v>1</v>
      </c>
      <c r="F194" s="165" t="s">
        <v>230</v>
      </c>
      <c r="H194" s="166">
        <v>168.904</v>
      </c>
      <c r="I194" s="167"/>
      <c r="L194" s="163"/>
      <c r="M194" s="168"/>
      <c r="T194" s="169"/>
      <c r="AT194" s="164" t="s">
        <v>195</v>
      </c>
      <c r="AU194" s="164" t="s">
        <v>20</v>
      </c>
      <c r="AV194" s="13" t="s">
        <v>191</v>
      </c>
      <c r="AW194" s="13" t="s">
        <v>37</v>
      </c>
      <c r="AX194" s="13" t="s">
        <v>88</v>
      </c>
      <c r="AY194" s="164" t="s">
        <v>184</v>
      </c>
    </row>
    <row r="195" spans="2:65" s="1" customFormat="1" ht="16.5" customHeight="1" x14ac:dyDescent="0.3">
      <c r="B195" s="33"/>
      <c r="C195" s="138" t="s">
        <v>334</v>
      </c>
      <c r="D195" s="138" t="s">
        <v>186</v>
      </c>
      <c r="E195" s="139" t="s">
        <v>369</v>
      </c>
      <c r="F195" s="140" t="s">
        <v>370</v>
      </c>
      <c r="G195" s="141" t="s">
        <v>248</v>
      </c>
      <c r="H195" s="142">
        <v>70.192999999999998</v>
      </c>
      <c r="I195" s="143">
        <v>305.44</v>
      </c>
      <c r="J195" s="144">
        <f>ROUND(I195*H195,2)</f>
        <v>21439.75</v>
      </c>
      <c r="K195" s="140" t="s">
        <v>190</v>
      </c>
      <c r="L195" s="33"/>
      <c r="M195" s="145" t="s">
        <v>1</v>
      </c>
      <c r="N195" s="146" t="s">
        <v>47</v>
      </c>
      <c r="O195" s="147">
        <v>0.376</v>
      </c>
      <c r="P195" s="147">
        <f>O195*H195</f>
        <v>26.392568000000001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AR195" s="149" t="s">
        <v>191</v>
      </c>
      <c r="AT195" s="149" t="s">
        <v>186</v>
      </c>
      <c r="AU195" s="149" t="s">
        <v>20</v>
      </c>
      <c r="AY195" s="18" t="s">
        <v>184</v>
      </c>
      <c r="BE195" s="150">
        <f>IF(N195="základní",J195,0)</f>
        <v>21439.75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8" t="s">
        <v>88</v>
      </c>
      <c r="BK195" s="150">
        <f>ROUND(I195*H195,2)</f>
        <v>21439.75</v>
      </c>
      <c r="BL195" s="18" t="s">
        <v>191</v>
      </c>
      <c r="BM195" s="149" t="s">
        <v>489</v>
      </c>
    </row>
    <row r="196" spans="2:65" s="1" customFormat="1" x14ac:dyDescent="0.3">
      <c r="B196" s="33"/>
      <c r="D196" s="151" t="s">
        <v>193</v>
      </c>
      <c r="F196" s="152" t="s">
        <v>372</v>
      </c>
      <c r="I196" s="153"/>
      <c r="L196" s="33"/>
      <c r="M196" s="154"/>
      <c r="T196" s="57"/>
      <c r="AT196" s="18" t="s">
        <v>193</v>
      </c>
      <c r="AU196" s="18" t="s">
        <v>20</v>
      </c>
    </row>
    <row r="197" spans="2:65" s="12" customFormat="1" ht="11.25" x14ac:dyDescent="0.3">
      <c r="B197" s="155"/>
      <c r="D197" s="156" t="s">
        <v>195</v>
      </c>
      <c r="E197" s="157" t="s">
        <v>1</v>
      </c>
      <c r="F197" s="158" t="s">
        <v>490</v>
      </c>
      <c r="H197" s="159">
        <v>70.192999999999998</v>
      </c>
      <c r="I197" s="160"/>
      <c r="L197" s="155"/>
      <c r="M197" s="161"/>
      <c r="T197" s="162"/>
      <c r="AT197" s="157" t="s">
        <v>195</v>
      </c>
      <c r="AU197" s="157" t="s">
        <v>20</v>
      </c>
      <c r="AV197" s="12" t="s">
        <v>20</v>
      </c>
      <c r="AW197" s="12" t="s">
        <v>37</v>
      </c>
      <c r="AX197" s="12" t="s">
        <v>88</v>
      </c>
      <c r="AY197" s="157" t="s">
        <v>184</v>
      </c>
    </row>
    <row r="198" spans="2:65" s="11" customFormat="1" ht="22.9" customHeight="1" x14ac:dyDescent="0.2">
      <c r="B198" s="127"/>
      <c r="D198" s="128" t="s">
        <v>80</v>
      </c>
      <c r="E198" s="136" t="s">
        <v>374</v>
      </c>
      <c r="F198" s="136" t="s">
        <v>375</v>
      </c>
      <c r="I198" s="171"/>
      <c r="J198" s="137">
        <f>BK198</f>
        <v>10056.92</v>
      </c>
      <c r="L198" s="127"/>
      <c r="M198" s="131"/>
      <c r="P198" s="132">
        <f>SUM(P199:P200)</f>
        <v>13.071622000000001</v>
      </c>
      <c r="R198" s="132">
        <f>SUM(R199:R200)</f>
        <v>0</v>
      </c>
      <c r="T198" s="133">
        <f>SUM(T199:T200)</f>
        <v>0</v>
      </c>
      <c r="AR198" s="128" t="s">
        <v>88</v>
      </c>
      <c r="AT198" s="134" t="s">
        <v>80</v>
      </c>
      <c r="AU198" s="134" t="s">
        <v>88</v>
      </c>
      <c r="AY198" s="128" t="s">
        <v>184</v>
      </c>
      <c r="BK198" s="135">
        <f>SUM(BK199:BK200)</f>
        <v>10056.92</v>
      </c>
    </row>
    <row r="199" spans="2:65" s="1" customFormat="1" ht="16.5" customHeight="1" x14ac:dyDescent="0.3">
      <c r="B199" s="33"/>
      <c r="C199" s="138" t="s">
        <v>340</v>
      </c>
      <c r="D199" s="138" t="s">
        <v>186</v>
      </c>
      <c r="E199" s="139" t="s">
        <v>377</v>
      </c>
      <c r="F199" s="140" t="s">
        <v>378</v>
      </c>
      <c r="G199" s="141" t="s">
        <v>248</v>
      </c>
      <c r="H199" s="142">
        <v>32.926000000000002</v>
      </c>
      <c r="I199" s="143">
        <v>305.44</v>
      </c>
      <c r="J199" s="144">
        <f>ROUND(I199*H199,2)</f>
        <v>10056.92</v>
      </c>
      <c r="K199" s="140" t="s">
        <v>190</v>
      </c>
      <c r="L199" s="33"/>
      <c r="M199" s="145" t="s">
        <v>1</v>
      </c>
      <c r="N199" s="146" t="s">
        <v>47</v>
      </c>
      <c r="O199" s="147">
        <v>0.39700000000000002</v>
      </c>
      <c r="P199" s="147">
        <f>O199*H199</f>
        <v>13.071622000000001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AR199" s="149" t="s">
        <v>191</v>
      </c>
      <c r="AT199" s="149" t="s">
        <v>186</v>
      </c>
      <c r="AU199" s="149" t="s">
        <v>20</v>
      </c>
      <c r="AY199" s="18" t="s">
        <v>184</v>
      </c>
      <c r="BE199" s="150">
        <f>IF(N199="základní",J199,0)</f>
        <v>10056.92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8" t="s">
        <v>88</v>
      </c>
      <c r="BK199" s="150">
        <f>ROUND(I199*H199,2)</f>
        <v>10056.92</v>
      </c>
      <c r="BL199" s="18" t="s">
        <v>191</v>
      </c>
      <c r="BM199" s="149" t="s">
        <v>491</v>
      </c>
    </row>
    <row r="200" spans="2:65" s="1" customFormat="1" x14ac:dyDescent="0.3">
      <c r="B200" s="33"/>
      <c r="D200" s="151" t="s">
        <v>193</v>
      </c>
      <c r="F200" s="152" t="s">
        <v>380</v>
      </c>
      <c r="I200" s="153"/>
      <c r="L200" s="33"/>
      <c r="M200" s="189"/>
      <c r="N200" s="190"/>
      <c r="O200" s="190"/>
      <c r="P200" s="190"/>
      <c r="Q200" s="190"/>
      <c r="R200" s="190"/>
      <c r="S200" s="190"/>
      <c r="T200" s="191"/>
      <c r="AT200" s="18" t="s">
        <v>193</v>
      </c>
      <c r="AU200" s="18" t="s">
        <v>20</v>
      </c>
    </row>
    <row r="201" spans="2:65" s="1" customFormat="1" ht="6.95" customHeight="1" x14ac:dyDescent="0.3">
      <c r="B201" s="45"/>
      <c r="C201" s="46"/>
      <c r="D201" s="46"/>
      <c r="E201" s="46"/>
      <c r="F201" s="46"/>
      <c r="G201" s="46"/>
      <c r="H201" s="46"/>
      <c r="I201" s="188"/>
      <c r="J201" s="46"/>
      <c r="K201" s="46"/>
      <c r="L201" s="33"/>
    </row>
  </sheetData>
  <sheetProtection sheet="1" objects="1" scenarios="1"/>
  <autoFilter ref="C121:K200" xr:uid="{59A48B1A-6573-4071-B9E8-038B6DF8C944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hyperlinks>
    <hyperlink ref="F126" r:id="rId1" xr:uid="{7959FF4E-1D42-467F-A174-9B5C0BD9D966}"/>
    <hyperlink ref="F129" r:id="rId2" xr:uid="{D839E0AD-78FE-4F89-8F3F-8FA8CBB152BF}"/>
    <hyperlink ref="F132" r:id="rId3" xr:uid="{32B6402B-57B3-4469-AB12-CBFBB0DBF651}"/>
    <hyperlink ref="F136" r:id="rId4" xr:uid="{DE279BF4-B46E-435F-BE42-7B59F8727C8F}"/>
    <hyperlink ref="F139" r:id="rId5" xr:uid="{10783F28-6197-42AA-8DB9-CB4F0066A006}"/>
    <hyperlink ref="F144" r:id="rId6" xr:uid="{780EA450-431E-4962-8FA2-3203BB9F464D}"/>
    <hyperlink ref="F150" r:id="rId7" xr:uid="{16EA6523-433D-4285-892D-D454C4E7E85D}"/>
    <hyperlink ref="F153" r:id="rId8" xr:uid="{868BE4B7-DE93-4BB3-B75F-49B6A4959339}"/>
    <hyperlink ref="F156" r:id="rId9" xr:uid="{7DCB8D0A-3FBD-42FA-A159-98BB38DA227F}"/>
    <hyperlink ref="F163" r:id="rId10" xr:uid="{D8D7204D-A10A-4706-B773-58275D115366}"/>
    <hyperlink ref="F169" r:id="rId11" xr:uid="{69DB709D-00A1-48D8-BF07-3F68607B8E6E}"/>
    <hyperlink ref="F172" r:id="rId12" xr:uid="{9EBF7DFD-CA12-4387-808D-B3FDD7476E07}"/>
    <hyperlink ref="F174" r:id="rId13" xr:uid="{34AD27DF-A398-471B-B829-C49BEC09AFF1}"/>
    <hyperlink ref="F186" r:id="rId14" xr:uid="{C6A23476-DCCD-4EE5-9B9E-614FE6A28A31}"/>
    <hyperlink ref="F188" r:id="rId15" xr:uid="{5DA7C905-6645-4A31-B775-4A1FBD410E3C}"/>
    <hyperlink ref="F191" r:id="rId16" xr:uid="{B9CC9846-A019-452D-A00D-256F2FD59A17}"/>
    <hyperlink ref="F196" r:id="rId17" xr:uid="{7D529B34-5627-4A04-87F2-52163B966E7E}"/>
    <hyperlink ref="F200" r:id="rId18" xr:uid="{EE7C2283-A0E0-4395-9E42-5160229DA76D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1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2A163-CA9A-4454-9A39-1B91717E1755}">
  <sheetPr>
    <tabColor indexed="22"/>
    <pageSetUpPr fitToPage="1"/>
  </sheetPr>
  <dimension ref="B2:BM270"/>
  <sheetViews>
    <sheetView showGridLines="0" topLeftCell="A239" zoomScaleNormal="100" workbookViewId="0">
      <selection activeCell="F190" sqref="F190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95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492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154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ROUND(J122, 2)</f>
        <v>3674726.11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ROUND((SUM(BE122:BE269)),  2)</f>
        <v>3674726.11</v>
      </c>
      <c r="I33" s="99">
        <v>0.21</v>
      </c>
      <c r="J33" s="98">
        <f>ROUND(((SUM(BE122:BE269))*I33),  2)</f>
        <v>771692.48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ROUND((SUM(BF122:BF269)),  2)</f>
        <v>0</v>
      </c>
      <c r="I34" s="99">
        <v>0.15</v>
      </c>
      <c r="J34" s="98">
        <f>ROUND(((SUM(BF122:BF269))*I34),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ROUND((SUM(BG122:BG269)),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ROUND((SUM(BH122:BH269)),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ROUND((SUM(BI122:BI269)),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4446418.59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104 - Místní komunikace MO2 10/5,5/30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J122</f>
        <v>3674726.11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160</v>
      </c>
      <c r="E97" s="113"/>
      <c r="F97" s="113"/>
      <c r="G97" s="113"/>
      <c r="H97" s="113"/>
      <c r="I97" s="113"/>
      <c r="J97" s="114">
        <f>J123</f>
        <v>3674726.11</v>
      </c>
      <c r="L97" s="111"/>
    </row>
    <row r="98" spans="2:12" s="9" customFormat="1" ht="19.899999999999999" customHeight="1" x14ac:dyDescent="0.3">
      <c r="B98" s="115"/>
      <c r="D98" s="116" t="s">
        <v>161</v>
      </c>
      <c r="E98" s="117"/>
      <c r="F98" s="117"/>
      <c r="G98" s="117"/>
      <c r="H98" s="117"/>
      <c r="I98" s="117"/>
      <c r="J98" s="118">
        <f>J124</f>
        <v>248609.83000000002</v>
      </c>
      <c r="L98" s="115"/>
    </row>
    <row r="99" spans="2:12" s="9" customFormat="1" ht="19.899999999999999" customHeight="1" x14ac:dyDescent="0.3">
      <c r="B99" s="115"/>
      <c r="D99" s="116" t="s">
        <v>162</v>
      </c>
      <c r="E99" s="117"/>
      <c r="F99" s="117"/>
      <c r="G99" s="117"/>
      <c r="H99" s="117"/>
      <c r="I99" s="117"/>
      <c r="J99" s="118">
        <f>J151</f>
        <v>2621301.3899999997</v>
      </c>
      <c r="L99" s="115"/>
    </row>
    <row r="100" spans="2:12" s="9" customFormat="1" ht="19.899999999999999" customHeight="1" x14ac:dyDescent="0.3">
      <c r="B100" s="115"/>
      <c r="D100" s="116" t="s">
        <v>163</v>
      </c>
      <c r="E100" s="117"/>
      <c r="F100" s="117"/>
      <c r="G100" s="117"/>
      <c r="H100" s="117"/>
      <c r="I100" s="117"/>
      <c r="J100" s="118">
        <f>J184</f>
        <v>428904.84</v>
      </c>
      <c r="L100" s="115"/>
    </row>
    <row r="101" spans="2:12" s="9" customFormat="1" ht="19.899999999999999" customHeight="1" x14ac:dyDescent="0.3">
      <c r="B101" s="115"/>
      <c r="D101" s="116" t="s">
        <v>164</v>
      </c>
      <c r="E101" s="117"/>
      <c r="F101" s="117"/>
      <c r="G101" s="117"/>
      <c r="H101" s="117"/>
      <c r="I101" s="117"/>
      <c r="J101" s="118">
        <f>J249</f>
        <v>274707.39</v>
      </c>
      <c r="L101" s="115"/>
    </row>
    <row r="102" spans="2:12" s="9" customFormat="1" ht="19.899999999999999" customHeight="1" x14ac:dyDescent="0.3">
      <c r="B102" s="115"/>
      <c r="D102" s="116" t="s">
        <v>165</v>
      </c>
      <c r="E102" s="117"/>
      <c r="F102" s="117"/>
      <c r="G102" s="117"/>
      <c r="H102" s="117"/>
      <c r="I102" s="117"/>
      <c r="J102" s="118">
        <f>J267</f>
        <v>101202.66</v>
      </c>
      <c r="L102" s="115"/>
    </row>
    <row r="103" spans="2:12" s="1" customFormat="1" ht="21.75" customHeight="1" x14ac:dyDescent="0.3">
      <c r="B103" s="33"/>
      <c r="L103" s="33"/>
    </row>
    <row r="104" spans="2:12" s="1" customFormat="1" ht="6.95" customHeight="1" x14ac:dyDescent="0.3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5" customHeight="1" x14ac:dyDescent="0.3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5" customHeight="1" x14ac:dyDescent="0.3">
      <c r="B109" s="33"/>
      <c r="C109" s="22" t="s">
        <v>168</v>
      </c>
      <c r="L109" s="33"/>
    </row>
    <row r="110" spans="2:12" s="1" customFormat="1" ht="6.95" customHeight="1" x14ac:dyDescent="0.3">
      <c r="B110" s="33"/>
      <c r="L110" s="33"/>
    </row>
    <row r="111" spans="2:12" s="1" customFormat="1" ht="12" customHeight="1" x14ac:dyDescent="0.3">
      <c r="B111" s="33"/>
      <c r="C111" s="28" t="s">
        <v>15</v>
      </c>
      <c r="L111" s="33"/>
    </row>
    <row r="112" spans="2:12" s="1" customFormat="1" ht="16.5" customHeight="1" x14ac:dyDescent="0.3">
      <c r="B112" s="33"/>
      <c r="E112" s="324" t="str">
        <f>E7</f>
        <v>Obnova ulice Tyršova, Dobrovice - I. etapa</v>
      </c>
      <c r="F112" s="325"/>
      <c r="G112" s="325"/>
      <c r="H112" s="325"/>
      <c r="L112" s="33"/>
    </row>
    <row r="113" spans="2:65" s="1" customFormat="1" ht="12" customHeight="1" x14ac:dyDescent="0.3">
      <c r="B113" s="33"/>
      <c r="C113" s="28" t="s">
        <v>152</v>
      </c>
      <c r="L113" s="33"/>
    </row>
    <row r="114" spans="2:65" s="1" customFormat="1" ht="16.5" customHeight="1" x14ac:dyDescent="0.3">
      <c r="B114" s="33"/>
      <c r="E114" s="308" t="str">
        <f>E9</f>
        <v>SO 104 - Místní komunikace MO2 10/5,5/30 I. etapa</v>
      </c>
      <c r="F114" s="326"/>
      <c r="G114" s="326"/>
      <c r="H114" s="326"/>
      <c r="L114" s="33"/>
    </row>
    <row r="115" spans="2:65" s="1" customFormat="1" ht="6.95" customHeight="1" x14ac:dyDescent="0.3">
      <c r="B115" s="33"/>
      <c r="L115" s="33"/>
    </row>
    <row r="116" spans="2:65" s="1" customFormat="1" ht="12" customHeight="1" x14ac:dyDescent="0.3">
      <c r="B116" s="33"/>
      <c r="C116" s="28" t="s">
        <v>21</v>
      </c>
      <c r="F116" s="26" t="str">
        <f>F12</f>
        <v>Dobrovice</v>
      </c>
      <c r="I116" s="28" t="s">
        <v>23</v>
      </c>
      <c r="J116" s="53">
        <f>IF(J12="","",J12)</f>
        <v>45678</v>
      </c>
      <c r="L116" s="33"/>
    </row>
    <row r="117" spans="2:65" s="1" customFormat="1" ht="6.95" customHeight="1" x14ac:dyDescent="0.3">
      <c r="B117" s="33"/>
      <c r="L117" s="33"/>
    </row>
    <row r="118" spans="2:65" s="1" customFormat="1" ht="25.7" customHeight="1" x14ac:dyDescent="0.3">
      <c r="B118" s="33"/>
      <c r="C118" s="28" t="s">
        <v>28</v>
      </c>
      <c r="F118" s="26" t="str">
        <f>E15</f>
        <v>Město Dobrovice, Palckého nám. 28, 294 41</v>
      </c>
      <c r="I118" s="28" t="s">
        <v>34</v>
      </c>
      <c r="J118" s="96" t="str">
        <f>E21</f>
        <v>Ing. arch. Martin Jirovský Ph.D., MBA</v>
      </c>
      <c r="L118" s="33"/>
    </row>
    <row r="119" spans="2:65" s="1" customFormat="1" ht="40.15" customHeight="1" x14ac:dyDescent="0.3">
      <c r="B119" s="33"/>
      <c r="C119" s="28" t="s">
        <v>33</v>
      </c>
      <c r="F119" s="26">
        <f>IF(E18="","",E18)</f>
        <v>0</v>
      </c>
      <c r="I119" s="28" t="s">
        <v>38</v>
      </c>
      <c r="J119" s="96" t="str">
        <f>E24</f>
        <v>ROAD M.A.A.T. s.r.o., Petra Stejskalová</v>
      </c>
      <c r="L119" s="33"/>
    </row>
    <row r="120" spans="2:65" s="1" customFormat="1" ht="10.35" customHeight="1" x14ac:dyDescent="0.3">
      <c r="B120" s="33"/>
      <c r="L120" s="33"/>
    </row>
    <row r="121" spans="2:65" s="10" customFormat="1" ht="29.25" customHeight="1" x14ac:dyDescent="0.3">
      <c r="B121" s="119"/>
      <c r="C121" s="120" t="s">
        <v>169</v>
      </c>
      <c r="D121" s="121" t="s">
        <v>66</v>
      </c>
      <c r="E121" s="121" t="s">
        <v>63</v>
      </c>
      <c r="F121" s="121" t="s">
        <v>170</v>
      </c>
      <c r="G121" s="121" t="s">
        <v>171</v>
      </c>
      <c r="H121" s="121" t="s">
        <v>172</v>
      </c>
      <c r="I121" s="121" t="s">
        <v>173</v>
      </c>
      <c r="J121" s="121" t="s">
        <v>157</v>
      </c>
      <c r="K121" s="122" t="s">
        <v>174</v>
      </c>
      <c r="L121" s="119"/>
      <c r="M121" s="60" t="s">
        <v>1</v>
      </c>
      <c r="N121" s="61" t="s">
        <v>46</v>
      </c>
      <c r="O121" s="61" t="s">
        <v>175</v>
      </c>
      <c r="P121" s="61" t="s">
        <v>176</v>
      </c>
      <c r="Q121" s="61" t="s">
        <v>177</v>
      </c>
      <c r="R121" s="61" t="s">
        <v>178</v>
      </c>
      <c r="S121" s="61" t="s">
        <v>179</v>
      </c>
      <c r="T121" s="62" t="s">
        <v>180</v>
      </c>
    </row>
    <row r="122" spans="2:65" s="1" customFormat="1" ht="22.9" customHeight="1" x14ac:dyDescent="0.25">
      <c r="B122" s="33"/>
      <c r="C122" s="65" t="s">
        <v>181</v>
      </c>
      <c r="J122" s="123">
        <f>BK122</f>
        <v>3674726.11</v>
      </c>
      <c r="L122" s="33"/>
      <c r="M122" s="63"/>
      <c r="N122" s="54"/>
      <c r="O122" s="54"/>
      <c r="P122" s="124">
        <f>P123</f>
        <v>1746.1926490000001</v>
      </c>
      <c r="Q122" s="54"/>
      <c r="R122" s="124">
        <f>R123</f>
        <v>489.34751859999994</v>
      </c>
      <c r="S122" s="54"/>
      <c r="T122" s="125">
        <f>T123</f>
        <v>503.06202999999999</v>
      </c>
      <c r="AT122" s="18" t="s">
        <v>80</v>
      </c>
      <c r="AU122" s="18" t="s">
        <v>159</v>
      </c>
      <c r="BK122" s="126">
        <f>BK123</f>
        <v>3674726.11</v>
      </c>
    </row>
    <row r="123" spans="2:65" s="11" customFormat="1" ht="25.9" customHeight="1" x14ac:dyDescent="0.2">
      <c r="B123" s="127"/>
      <c r="D123" s="128" t="s">
        <v>80</v>
      </c>
      <c r="E123" s="129" t="s">
        <v>182</v>
      </c>
      <c r="F123" s="129" t="s">
        <v>183</v>
      </c>
      <c r="J123" s="130">
        <f>BK123</f>
        <v>3674726.11</v>
      </c>
      <c r="L123" s="127"/>
      <c r="M123" s="131"/>
      <c r="P123" s="132">
        <f>P124+P151+P184+P249+P267</f>
        <v>1746.1926490000001</v>
      </c>
      <c r="R123" s="132">
        <f>R124+R151+R184+R249+R267</f>
        <v>489.34751859999994</v>
      </c>
      <c r="T123" s="133">
        <f>T124+T151+T184+T249+T267</f>
        <v>503.06202999999999</v>
      </c>
      <c r="AR123" s="128" t="s">
        <v>88</v>
      </c>
      <c r="AT123" s="134" t="s">
        <v>80</v>
      </c>
      <c r="AU123" s="134" t="s">
        <v>81</v>
      </c>
      <c r="AY123" s="128" t="s">
        <v>184</v>
      </c>
      <c r="BK123" s="135">
        <f>BK124+BK151+BK184+BK249+BK267</f>
        <v>3674726.11</v>
      </c>
    </row>
    <row r="124" spans="2:65" s="11" customFormat="1" ht="22.9" customHeight="1" x14ac:dyDescent="0.2">
      <c r="B124" s="127"/>
      <c r="D124" s="128" t="s">
        <v>80</v>
      </c>
      <c r="E124" s="136" t="s">
        <v>88</v>
      </c>
      <c r="F124" s="136" t="s">
        <v>185</v>
      </c>
      <c r="J124" s="137">
        <f>BK124</f>
        <v>248609.83000000002</v>
      </c>
      <c r="L124" s="127"/>
      <c r="M124" s="131"/>
      <c r="P124" s="132">
        <f>SUM(P125:P150)</f>
        <v>180.11481099999997</v>
      </c>
      <c r="R124" s="132">
        <f>SUM(R125:R150)</f>
        <v>3.7455000000000002E-2</v>
      </c>
      <c r="T124" s="133">
        <f>SUM(T125:T150)</f>
        <v>456.01202999999998</v>
      </c>
      <c r="AR124" s="128" t="s">
        <v>88</v>
      </c>
      <c r="AT124" s="134" t="s">
        <v>80</v>
      </c>
      <c r="AU124" s="134" t="s">
        <v>88</v>
      </c>
      <c r="AY124" s="128" t="s">
        <v>184</v>
      </c>
      <c r="BK124" s="135">
        <f>SUM(BK125:BK150)</f>
        <v>248609.83000000002</v>
      </c>
    </row>
    <row r="125" spans="2:65" s="1" customFormat="1" ht="16.5" customHeight="1" x14ac:dyDescent="0.3">
      <c r="B125" s="33"/>
      <c r="C125" s="138" t="s">
        <v>88</v>
      </c>
      <c r="D125" s="138" t="s">
        <v>186</v>
      </c>
      <c r="E125" s="139" t="s">
        <v>493</v>
      </c>
      <c r="F125" s="140" t="s">
        <v>494</v>
      </c>
      <c r="G125" s="141" t="s">
        <v>189</v>
      </c>
      <c r="H125" s="142">
        <v>636.30999999999995</v>
      </c>
      <c r="I125" s="143">
        <v>45.82</v>
      </c>
      <c r="J125" s="144">
        <f>ROUND(I125*H125,2)</f>
        <v>29155.72</v>
      </c>
      <c r="K125" s="140" t="s">
        <v>190</v>
      </c>
      <c r="L125" s="33"/>
      <c r="M125" s="145" t="s">
        <v>1</v>
      </c>
      <c r="N125" s="146" t="s">
        <v>47</v>
      </c>
      <c r="O125" s="147">
        <v>2.3E-2</v>
      </c>
      <c r="P125" s="147">
        <f>O125*H125</f>
        <v>14.635129999999998</v>
      </c>
      <c r="Q125" s="147">
        <v>0</v>
      </c>
      <c r="R125" s="147">
        <f>Q125*H125</f>
        <v>0</v>
      </c>
      <c r="S125" s="147">
        <v>0.38800000000000001</v>
      </c>
      <c r="T125" s="148">
        <f>S125*H125</f>
        <v>246.88827999999998</v>
      </c>
      <c r="AR125" s="149" t="s">
        <v>191</v>
      </c>
      <c r="AT125" s="149" t="s">
        <v>186</v>
      </c>
      <c r="AU125" s="149" t="s">
        <v>20</v>
      </c>
      <c r="AY125" s="18" t="s">
        <v>184</v>
      </c>
      <c r="BE125" s="150">
        <f>IF(N125="základní",J125,0)</f>
        <v>29155.72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8" t="s">
        <v>88</v>
      </c>
      <c r="BK125" s="150">
        <f>ROUND(I125*H125,2)</f>
        <v>29155.72</v>
      </c>
      <c r="BL125" s="18" t="s">
        <v>191</v>
      </c>
      <c r="BM125" s="149" t="s">
        <v>495</v>
      </c>
    </row>
    <row r="126" spans="2:65" s="1" customFormat="1" x14ac:dyDescent="0.3">
      <c r="B126" s="33"/>
      <c r="D126" s="151" t="s">
        <v>193</v>
      </c>
      <c r="F126" s="152" t="s">
        <v>496</v>
      </c>
      <c r="I126" s="153"/>
      <c r="L126" s="33"/>
      <c r="M126" s="154"/>
      <c r="T126" s="57"/>
      <c r="AT126" s="18" t="s">
        <v>193</v>
      </c>
      <c r="AU126" s="18" t="s">
        <v>20</v>
      </c>
    </row>
    <row r="127" spans="2:65" s="12" customFormat="1" ht="11.25" x14ac:dyDescent="0.3">
      <c r="B127" s="155"/>
      <c r="D127" s="156" t="s">
        <v>195</v>
      </c>
      <c r="E127" s="157" t="s">
        <v>1</v>
      </c>
      <c r="F127" s="158" t="s">
        <v>497</v>
      </c>
      <c r="H127" s="159">
        <v>1400.95</v>
      </c>
      <c r="I127" s="160"/>
      <c r="L127" s="155"/>
      <c r="M127" s="161"/>
      <c r="T127" s="162"/>
      <c r="AT127" s="157" t="s">
        <v>195</v>
      </c>
      <c r="AU127" s="157" t="s">
        <v>20</v>
      </c>
      <c r="AV127" s="12" t="s">
        <v>20</v>
      </c>
      <c r="AW127" s="12" t="s">
        <v>37</v>
      </c>
      <c r="AX127" s="12" t="s">
        <v>81</v>
      </c>
      <c r="AY127" s="157" t="s">
        <v>184</v>
      </c>
    </row>
    <row r="128" spans="2:65" s="12" customFormat="1" ht="11.25" x14ac:dyDescent="0.3">
      <c r="B128" s="155"/>
      <c r="D128" s="156" t="s">
        <v>195</v>
      </c>
      <c r="E128" s="157" t="s">
        <v>1</v>
      </c>
      <c r="F128" s="158" t="s">
        <v>498</v>
      </c>
      <c r="H128" s="159">
        <v>-162.80000000000001</v>
      </c>
      <c r="I128" s="160"/>
      <c r="L128" s="155"/>
      <c r="M128" s="161"/>
      <c r="T128" s="162"/>
      <c r="AT128" s="157" t="s">
        <v>195</v>
      </c>
      <c r="AU128" s="157" t="s">
        <v>20</v>
      </c>
      <c r="AV128" s="12" t="s">
        <v>20</v>
      </c>
      <c r="AW128" s="12" t="s">
        <v>37</v>
      </c>
      <c r="AX128" s="12" t="s">
        <v>81</v>
      </c>
      <c r="AY128" s="157" t="s">
        <v>184</v>
      </c>
    </row>
    <row r="129" spans="2:65" s="12" customFormat="1" ht="11.25" x14ac:dyDescent="0.3">
      <c r="B129" s="155"/>
      <c r="D129" s="156" t="s">
        <v>195</v>
      </c>
      <c r="E129" s="157" t="s">
        <v>1</v>
      </c>
      <c r="F129" s="158" t="s">
        <v>499</v>
      </c>
      <c r="H129" s="159">
        <v>-359</v>
      </c>
      <c r="I129" s="160"/>
      <c r="L129" s="155"/>
      <c r="M129" s="161"/>
      <c r="T129" s="162"/>
      <c r="AT129" s="157" t="s">
        <v>195</v>
      </c>
      <c r="AU129" s="157" t="s">
        <v>20</v>
      </c>
      <c r="AV129" s="12" t="s">
        <v>20</v>
      </c>
      <c r="AW129" s="12" t="s">
        <v>37</v>
      </c>
      <c r="AX129" s="12" t="s">
        <v>81</v>
      </c>
      <c r="AY129" s="157" t="s">
        <v>184</v>
      </c>
    </row>
    <row r="130" spans="2:65" s="12" customFormat="1" ht="11.25" x14ac:dyDescent="0.3">
      <c r="B130" s="155"/>
      <c r="D130" s="156" t="s">
        <v>195</v>
      </c>
      <c r="E130" s="157" t="s">
        <v>1</v>
      </c>
      <c r="F130" s="158" t="s">
        <v>500</v>
      </c>
      <c r="H130" s="159">
        <v>-242.84</v>
      </c>
      <c r="I130" s="160"/>
      <c r="L130" s="155"/>
      <c r="M130" s="161"/>
      <c r="T130" s="162"/>
      <c r="AT130" s="157" t="s">
        <v>195</v>
      </c>
      <c r="AU130" s="157" t="s">
        <v>20</v>
      </c>
      <c r="AV130" s="12" t="s">
        <v>20</v>
      </c>
      <c r="AW130" s="12" t="s">
        <v>37</v>
      </c>
      <c r="AX130" s="12" t="s">
        <v>81</v>
      </c>
      <c r="AY130" s="157" t="s">
        <v>184</v>
      </c>
    </row>
    <row r="131" spans="2:65" s="13" customFormat="1" ht="11.25" x14ac:dyDescent="0.3">
      <c r="B131" s="163"/>
      <c r="D131" s="156" t="s">
        <v>195</v>
      </c>
      <c r="E131" s="164" t="s">
        <v>1</v>
      </c>
      <c r="F131" s="165" t="s">
        <v>230</v>
      </c>
      <c r="H131" s="166">
        <v>636.31000000000006</v>
      </c>
      <c r="I131" s="167"/>
      <c r="L131" s="163"/>
      <c r="M131" s="168"/>
      <c r="T131" s="169"/>
      <c r="AT131" s="164" t="s">
        <v>195</v>
      </c>
      <c r="AU131" s="164" t="s">
        <v>20</v>
      </c>
      <c r="AV131" s="13" t="s">
        <v>191</v>
      </c>
      <c r="AW131" s="13" t="s">
        <v>37</v>
      </c>
      <c r="AX131" s="13" t="s">
        <v>88</v>
      </c>
      <c r="AY131" s="164" t="s">
        <v>184</v>
      </c>
    </row>
    <row r="132" spans="2:65" s="1" customFormat="1" ht="16.5" customHeight="1" x14ac:dyDescent="0.3">
      <c r="B132" s="33"/>
      <c r="C132" s="138" t="s">
        <v>20</v>
      </c>
      <c r="D132" s="138" t="s">
        <v>186</v>
      </c>
      <c r="E132" s="139" t="s">
        <v>501</v>
      </c>
      <c r="F132" s="140" t="s">
        <v>502</v>
      </c>
      <c r="G132" s="141" t="s">
        <v>189</v>
      </c>
      <c r="H132" s="142">
        <v>624.25</v>
      </c>
      <c r="I132" s="143">
        <v>91.63</v>
      </c>
      <c r="J132" s="144">
        <f>ROUND(I132*H132,2)</f>
        <v>57200.03</v>
      </c>
      <c r="K132" s="140" t="s">
        <v>190</v>
      </c>
      <c r="L132" s="33"/>
      <c r="M132" s="145" t="s">
        <v>1</v>
      </c>
      <c r="N132" s="146" t="s">
        <v>47</v>
      </c>
      <c r="O132" s="147">
        <v>7.8E-2</v>
      </c>
      <c r="P132" s="147">
        <f>O132*H132</f>
        <v>48.691499999999998</v>
      </c>
      <c r="Q132" s="147">
        <v>0</v>
      </c>
      <c r="R132" s="147">
        <f>Q132*H132</f>
        <v>0</v>
      </c>
      <c r="S132" s="147">
        <v>0.22</v>
      </c>
      <c r="T132" s="148">
        <f>S132*H132</f>
        <v>137.33500000000001</v>
      </c>
      <c r="AR132" s="149" t="s">
        <v>191</v>
      </c>
      <c r="AT132" s="149" t="s">
        <v>186</v>
      </c>
      <c r="AU132" s="149" t="s">
        <v>20</v>
      </c>
      <c r="AY132" s="18" t="s">
        <v>184</v>
      </c>
      <c r="BE132" s="150">
        <f>IF(N132="základní",J132,0)</f>
        <v>57200.03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8" t="s">
        <v>88</v>
      </c>
      <c r="BK132" s="150">
        <f>ROUND(I132*H132,2)</f>
        <v>57200.03</v>
      </c>
      <c r="BL132" s="18" t="s">
        <v>191</v>
      </c>
      <c r="BM132" s="149" t="s">
        <v>503</v>
      </c>
    </row>
    <row r="133" spans="2:65" s="1" customFormat="1" x14ac:dyDescent="0.3">
      <c r="B133" s="33"/>
      <c r="D133" s="151" t="s">
        <v>193</v>
      </c>
      <c r="F133" s="152" t="s">
        <v>504</v>
      </c>
      <c r="I133" s="153"/>
      <c r="L133" s="33"/>
      <c r="M133" s="154"/>
      <c r="T133" s="57"/>
      <c r="AT133" s="18" t="s">
        <v>193</v>
      </c>
      <c r="AU133" s="18" t="s">
        <v>20</v>
      </c>
    </row>
    <row r="134" spans="2:65" s="12" customFormat="1" ht="11.25" x14ac:dyDescent="0.3">
      <c r="B134" s="155"/>
      <c r="D134" s="156" t="s">
        <v>195</v>
      </c>
      <c r="E134" s="157" t="s">
        <v>1</v>
      </c>
      <c r="F134" s="158" t="s">
        <v>497</v>
      </c>
      <c r="H134" s="159">
        <v>1400.95</v>
      </c>
      <c r="I134" s="160"/>
      <c r="L134" s="155"/>
      <c r="M134" s="161"/>
      <c r="T134" s="162"/>
      <c r="AT134" s="157" t="s">
        <v>195</v>
      </c>
      <c r="AU134" s="157" t="s">
        <v>20</v>
      </c>
      <c r="AV134" s="12" t="s">
        <v>20</v>
      </c>
      <c r="AW134" s="12" t="s">
        <v>37</v>
      </c>
      <c r="AX134" s="12" t="s">
        <v>81</v>
      </c>
      <c r="AY134" s="157" t="s">
        <v>184</v>
      </c>
    </row>
    <row r="135" spans="2:65" s="12" customFormat="1" ht="11.25" x14ac:dyDescent="0.3">
      <c r="B135" s="155"/>
      <c r="D135" s="156" t="s">
        <v>195</v>
      </c>
      <c r="E135" s="157" t="s">
        <v>1</v>
      </c>
      <c r="F135" s="158" t="s">
        <v>498</v>
      </c>
      <c r="H135" s="159">
        <v>-162.80000000000001</v>
      </c>
      <c r="I135" s="160"/>
      <c r="L135" s="155"/>
      <c r="M135" s="161"/>
      <c r="T135" s="162"/>
      <c r="AT135" s="157" t="s">
        <v>195</v>
      </c>
      <c r="AU135" s="157" t="s">
        <v>20</v>
      </c>
      <c r="AV135" s="12" t="s">
        <v>20</v>
      </c>
      <c r="AW135" s="12" t="s">
        <v>37</v>
      </c>
      <c r="AX135" s="12" t="s">
        <v>81</v>
      </c>
      <c r="AY135" s="157" t="s">
        <v>184</v>
      </c>
    </row>
    <row r="136" spans="2:65" s="12" customFormat="1" ht="11.25" x14ac:dyDescent="0.3">
      <c r="B136" s="155"/>
      <c r="D136" s="156" t="s">
        <v>195</v>
      </c>
      <c r="E136" s="157" t="s">
        <v>1</v>
      </c>
      <c r="F136" s="158" t="s">
        <v>499</v>
      </c>
      <c r="H136" s="159">
        <v>-359</v>
      </c>
      <c r="I136" s="160"/>
      <c r="L136" s="155"/>
      <c r="M136" s="161"/>
      <c r="T136" s="162"/>
      <c r="AT136" s="157" t="s">
        <v>195</v>
      </c>
      <c r="AU136" s="157" t="s">
        <v>20</v>
      </c>
      <c r="AV136" s="12" t="s">
        <v>20</v>
      </c>
      <c r="AW136" s="12" t="s">
        <v>37</v>
      </c>
      <c r="AX136" s="12" t="s">
        <v>81</v>
      </c>
      <c r="AY136" s="157" t="s">
        <v>184</v>
      </c>
    </row>
    <row r="137" spans="2:65" s="12" customFormat="1" ht="11.25" x14ac:dyDescent="0.3">
      <c r="B137" s="155"/>
      <c r="D137" s="156" t="s">
        <v>195</v>
      </c>
      <c r="E137" s="157" t="s">
        <v>1</v>
      </c>
      <c r="F137" s="158" t="s">
        <v>505</v>
      </c>
      <c r="H137" s="159">
        <v>-254.9</v>
      </c>
      <c r="I137" s="160"/>
      <c r="L137" s="155"/>
      <c r="M137" s="161"/>
      <c r="T137" s="162"/>
      <c r="AT137" s="157" t="s">
        <v>195</v>
      </c>
      <c r="AU137" s="157" t="s">
        <v>20</v>
      </c>
      <c r="AV137" s="12" t="s">
        <v>20</v>
      </c>
      <c r="AW137" s="12" t="s">
        <v>37</v>
      </c>
      <c r="AX137" s="12" t="s">
        <v>81</v>
      </c>
      <c r="AY137" s="157" t="s">
        <v>184</v>
      </c>
    </row>
    <row r="138" spans="2:65" s="13" customFormat="1" ht="11.25" x14ac:dyDescent="0.3">
      <c r="B138" s="163"/>
      <c r="D138" s="156" t="s">
        <v>195</v>
      </c>
      <c r="E138" s="164" t="s">
        <v>1</v>
      </c>
      <c r="F138" s="165" t="s">
        <v>230</v>
      </c>
      <c r="H138" s="166">
        <v>624.25000000000011</v>
      </c>
      <c r="I138" s="167"/>
      <c r="L138" s="163"/>
      <c r="M138" s="168"/>
      <c r="T138" s="169"/>
      <c r="AT138" s="164" t="s">
        <v>195</v>
      </c>
      <c r="AU138" s="164" t="s">
        <v>20</v>
      </c>
      <c r="AV138" s="13" t="s">
        <v>191</v>
      </c>
      <c r="AW138" s="13" t="s">
        <v>37</v>
      </c>
      <c r="AX138" s="13" t="s">
        <v>88</v>
      </c>
      <c r="AY138" s="164" t="s">
        <v>184</v>
      </c>
    </row>
    <row r="139" spans="2:65" s="1" customFormat="1" ht="21.75" customHeight="1" x14ac:dyDescent="0.3">
      <c r="B139" s="33"/>
      <c r="C139" s="138" t="s">
        <v>202</v>
      </c>
      <c r="D139" s="138" t="s">
        <v>186</v>
      </c>
      <c r="E139" s="139" t="s">
        <v>506</v>
      </c>
      <c r="F139" s="140" t="s">
        <v>507</v>
      </c>
      <c r="G139" s="141" t="s">
        <v>189</v>
      </c>
      <c r="H139" s="142">
        <v>624.25</v>
      </c>
      <c r="I139" s="143">
        <v>128.41</v>
      </c>
      <c r="J139" s="144">
        <f>ROUND(I139*H139,2)</f>
        <v>80159.94</v>
      </c>
      <c r="K139" s="140" t="s">
        <v>190</v>
      </c>
      <c r="L139" s="33"/>
      <c r="M139" s="145" t="s">
        <v>1</v>
      </c>
      <c r="N139" s="146" t="s">
        <v>47</v>
      </c>
      <c r="O139" s="147">
        <v>2.1999999999999999E-2</v>
      </c>
      <c r="P139" s="147">
        <f>O139*H139</f>
        <v>13.733499999999999</v>
      </c>
      <c r="Q139" s="147">
        <v>6.0000000000000002E-5</v>
      </c>
      <c r="R139" s="147">
        <f>Q139*H139</f>
        <v>3.7455000000000002E-2</v>
      </c>
      <c r="S139" s="147">
        <v>0.115</v>
      </c>
      <c r="T139" s="148">
        <f>S139*H139</f>
        <v>71.788750000000007</v>
      </c>
      <c r="AR139" s="149" t="s">
        <v>191</v>
      </c>
      <c r="AT139" s="149" t="s">
        <v>186</v>
      </c>
      <c r="AU139" s="149" t="s">
        <v>20</v>
      </c>
      <c r="AY139" s="18" t="s">
        <v>184</v>
      </c>
      <c r="BE139" s="150">
        <f>IF(N139="základní",J139,0)</f>
        <v>80159.94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8" t="s">
        <v>88</v>
      </c>
      <c r="BK139" s="150">
        <f>ROUND(I139*H139,2)</f>
        <v>80159.94</v>
      </c>
      <c r="BL139" s="18" t="s">
        <v>191</v>
      </c>
      <c r="BM139" s="149" t="s">
        <v>508</v>
      </c>
    </row>
    <row r="140" spans="2:65" s="1" customFormat="1" x14ac:dyDescent="0.3">
      <c r="B140" s="33"/>
      <c r="D140" s="151" t="s">
        <v>193</v>
      </c>
      <c r="F140" s="152" t="s">
        <v>509</v>
      </c>
      <c r="I140" s="153"/>
      <c r="L140" s="33"/>
      <c r="M140" s="154"/>
      <c r="T140" s="57"/>
      <c r="AT140" s="18" t="s">
        <v>193</v>
      </c>
      <c r="AU140" s="18" t="s">
        <v>20</v>
      </c>
    </row>
    <row r="141" spans="2:65" s="12" customFormat="1" ht="11.25" x14ac:dyDescent="0.3">
      <c r="B141" s="155"/>
      <c r="D141" s="156" t="s">
        <v>195</v>
      </c>
      <c r="E141" s="157" t="s">
        <v>1</v>
      </c>
      <c r="F141" s="158" t="s">
        <v>497</v>
      </c>
      <c r="H141" s="159">
        <v>1400.95</v>
      </c>
      <c r="I141" s="160"/>
      <c r="L141" s="155"/>
      <c r="M141" s="161"/>
      <c r="T141" s="162"/>
      <c r="AT141" s="157" t="s">
        <v>195</v>
      </c>
      <c r="AU141" s="157" t="s">
        <v>20</v>
      </c>
      <c r="AV141" s="12" t="s">
        <v>20</v>
      </c>
      <c r="AW141" s="12" t="s">
        <v>37</v>
      </c>
      <c r="AX141" s="12" t="s">
        <v>81</v>
      </c>
      <c r="AY141" s="157" t="s">
        <v>184</v>
      </c>
    </row>
    <row r="142" spans="2:65" s="12" customFormat="1" ht="11.25" x14ac:dyDescent="0.3">
      <c r="B142" s="155"/>
      <c r="D142" s="156" t="s">
        <v>195</v>
      </c>
      <c r="E142" s="157" t="s">
        <v>1</v>
      </c>
      <c r="F142" s="158" t="s">
        <v>498</v>
      </c>
      <c r="H142" s="159">
        <v>-162.80000000000001</v>
      </c>
      <c r="I142" s="160"/>
      <c r="L142" s="155"/>
      <c r="M142" s="161"/>
      <c r="T142" s="162"/>
      <c r="AT142" s="157" t="s">
        <v>195</v>
      </c>
      <c r="AU142" s="157" t="s">
        <v>20</v>
      </c>
      <c r="AV142" s="12" t="s">
        <v>20</v>
      </c>
      <c r="AW142" s="12" t="s">
        <v>37</v>
      </c>
      <c r="AX142" s="12" t="s">
        <v>81</v>
      </c>
      <c r="AY142" s="157" t="s">
        <v>184</v>
      </c>
    </row>
    <row r="143" spans="2:65" s="12" customFormat="1" ht="11.25" x14ac:dyDescent="0.3">
      <c r="B143" s="155"/>
      <c r="D143" s="156" t="s">
        <v>195</v>
      </c>
      <c r="E143" s="157" t="s">
        <v>1</v>
      </c>
      <c r="F143" s="158" t="s">
        <v>499</v>
      </c>
      <c r="H143" s="159">
        <v>-359</v>
      </c>
      <c r="I143" s="160"/>
      <c r="L143" s="155"/>
      <c r="M143" s="161"/>
      <c r="T143" s="162"/>
      <c r="AT143" s="157" t="s">
        <v>195</v>
      </c>
      <c r="AU143" s="157" t="s">
        <v>20</v>
      </c>
      <c r="AV143" s="12" t="s">
        <v>20</v>
      </c>
      <c r="AW143" s="12" t="s">
        <v>37</v>
      </c>
      <c r="AX143" s="12" t="s">
        <v>81</v>
      </c>
      <c r="AY143" s="157" t="s">
        <v>184</v>
      </c>
    </row>
    <row r="144" spans="2:65" s="12" customFormat="1" ht="11.25" x14ac:dyDescent="0.3">
      <c r="B144" s="155"/>
      <c r="D144" s="156" t="s">
        <v>195</v>
      </c>
      <c r="E144" s="157" t="s">
        <v>1</v>
      </c>
      <c r="F144" s="158" t="s">
        <v>505</v>
      </c>
      <c r="H144" s="159">
        <v>-254.9</v>
      </c>
      <c r="I144" s="160"/>
      <c r="L144" s="155"/>
      <c r="M144" s="161"/>
      <c r="T144" s="162"/>
      <c r="AT144" s="157" t="s">
        <v>195</v>
      </c>
      <c r="AU144" s="157" t="s">
        <v>20</v>
      </c>
      <c r="AV144" s="12" t="s">
        <v>20</v>
      </c>
      <c r="AW144" s="12" t="s">
        <v>37</v>
      </c>
      <c r="AX144" s="12" t="s">
        <v>81</v>
      </c>
      <c r="AY144" s="157" t="s">
        <v>184</v>
      </c>
    </row>
    <row r="145" spans="2:65" s="13" customFormat="1" ht="11.25" x14ac:dyDescent="0.3">
      <c r="B145" s="163"/>
      <c r="D145" s="156" t="s">
        <v>195</v>
      </c>
      <c r="E145" s="164" t="s">
        <v>1</v>
      </c>
      <c r="F145" s="165" t="s">
        <v>230</v>
      </c>
      <c r="H145" s="166">
        <v>624.25000000000011</v>
      </c>
      <c r="I145" s="167"/>
      <c r="L145" s="163"/>
      <c r="M145" s="168"/>
      <c r="T145" s="169"/>
      <c r="AT145" s="164" t="s">
        <v>195</v>
      </c>
      <c r="AU145" s="164" t="s">
        <v>20</v>
      </c>
      <c r="AV145" s="13" t="s">
        <v>191</v>
      </c>
      <c r="AW145" s="13" t="s">
        <v>37</v>
      </c>
      <c r="AX145" s="13" t="s">
        <v>88</v>
      </c>
      <c r="AY145" s="164" t="s">
        <v>184</v>
      </c>
    </row>
    <row r="146" spans="2:65" s="1" customFormat="1" ht="21.75" customHeight="1" x14ac:dyDescent="0.3">
      <c r="B146" s="33"/>
      <c r="C146" s="138" t="s">
        <v>191</v>
      </c>
      <c r="D146" s="138" t="s">
        <v>186</v>
      </c>
      <c r="E146" s="139" t="s">
        <v>510</v>
      </c>
      <c r="F146" s="140" t="s">
        <v>511</v>
      </c>
      <c r="G146" s="141" t="s">
        <v>217</v>
      </c>
      <c r="H146" s="142">
        <v>38.072000000000003</v>
      </c>
      <c r="I146" s="143">
        <v>610.87</v>
      </c>
      <c r="J146" s="144">
        <f>ROUND(I146*H146,2)</f>
        <v>23257.040000000001</v>
      </c>
      <c r="K146" s="140" t="s">
        <v>190</v>
      </c>
      <c r="L146" s="33"/>
      <c r="M146" s="145" t="s">
        <v>1</v>
      </c>
      <c r="N146" s="146" t="s">
        <v>47</v>
      </c>
      <c r="O146" s="147">
        <v>1.5329999999999999</v>
      </c>
      <c r="P146" s="147">
        <f>O146*H146</f>
        <v>58.364376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191</v>
      </c>
      <c r="AT146" s="149" t="s">
        <v>186</v>
      </c>
      <c r="AU146" s="149" t="s">
        <v>20</v>
      </c>
      <c r="AY146" s="18" t="s">
        <v>184</v>
      </c>
      <c r="BE146" s="150">
        <f>IF(N146="základní",J146,0)</f>
        <v>23257.040000000001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8" t="s">
        <v>88</v>
      </c>
      <c r="BK146" s="150">
        <f>ROUND(I146*H146,2)</f>
        <v>23257.040000000001</v>
      </c>
      <c r="BL146" s="18" t="s">
        <v>191</v>
      </c>
      <c r="BM146" s="149" t="s">
        <v>512</v>
      </c>
    </row>
    <row r="147" spans="2:65" s="1" customFormat="1" x14ac:dyDescent="0.3">
      <c r="B147" s="33"/>
      <c r="D147" s="151" t="s">
        <v>193</v>
      </c>
      <c r="F147" s="152" t="s">
        <v>513</v>
      </c>
      <c r="I147" s="153"/>
      <c r="L147" s="33"/>
      <c r="M147" s="154"/>
      <c r="T147" s="57"/>
      <c r="AT147" s="18" t="s">
        <v>193</v>
      </c>
      <c r="AU147" s="18" t="s">
        <v>20</v>
      </c>
    </row>
    <row r="148" spans="2:65" s="12" customFormat="1" ht="11.25" x14ac:dyDescent="0.3">
      <c r="B148" s="155"/>
      <c r="D148" s="156" t="s">
        <v>195</v>
      </c>
      <c r="E148" s="157" t="s">
        <v>1</v>
      </c>
      <c r="F148" s="158" t="s">
        <v>514</v>
      </c>
      <c r="H148" s="159">
        <v>38.072000000000003</v>
      </c>
      <c r="I148" s="160"/>
      <c r="L148" s="155"/>
      <c r="M148" s="161"/>
      <c r="T148" s="162"/>
      <c r="AT148" s="157" t="s">
        <v>195</v>
      </c>
      <c r="AU148" s="157" t="s">
        <v>20</v>
      </c>
      <c r="AV148" s="12" t="s">
        <v>20</v>
      </c>
      <c r="AW148" s="12" t="s">
        <v>37</v>
      </c>
      <c r="AX148" s="12" t="s">
        <v>88</v>
      </c>
      <c r="AY148" s="157" t="s">
        <v>184</v>
      </c>
    </row>
    <row r="149" spans="2:65" s="1" customFormat="1" ht="16.5" customHeight="1" x14ac:dyDescent="0.3">
      <c r="B149" s="33"/>
      <c r="C149" s="138" t="s">
        <v>214</v>
      </c>
      <c r="D149" s="138" t="s">
        <v>186</v>
      </c>
      <c r="E149" s="139" t="s">
        <v>258</v>
      </c>
      <c r="F149" s="140" t="s">
        <v>259</v>
      </c>
      <c r="G149" s="141" t="s">
        <v>189</v>
      </c>
      <c r="H149" s="142">
        <v>1541.0450000000001</v>
      </c>
      <c r="I149" s="143">
        <v>38.18</v>
      </c>
      <c r="J149" s="144">
        <f>ROUND(I149*H149,2)</f>
        <v>58837.1</v>
      </c>
      <c r="K149" s="140" t="s">
        <v>1</v>
      </c>
      <c r="L149" s="33"/>
      <c r="M149" s="145" t="s">
        <v>1</v>
      </c>
      <c r="N149" s="146" t="s">
        <v>47</v>
      </c>
      <c r="O149" s="147">
        <v>2.9000000000000001E-2</v>
      </c>
      <c r="P149" s="147">
        <f>O149*H149</f>
        <v>44.690305000000002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191</v>
      </c>
      <c r="AT149" s="149" t="s">
        <v>186</v>
      </c>
      <c r="AU149" s="149" t="s">
        <v>20</v>
      </c>
      <c r="AY149" s="18" t="s">
        <v>184</v>
      </c>
      <c r="BE149" s="150">
        <f>IF(N149="základní",J149,0)</f>
        <v>58837.1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8" t="s">
        <v>88</v>
      </c>
      <c r="BK149" s="150">
        <f>ROUND(I149*H149,2)</f>
        <v>58837.1</v>
      </c>
      <c r="BL149" s="18" t="s">
        <v>191</v>
      </c>
      <c r="BM149" s="149" t="s">
        <v>515</v>
      </c>
    </row>
    <row r="150" spans="2:65" s="12" customFormat="1" ht="11.25" x14ac:dyDescent="0.3">
      <c r="B150" s="155"/>
      <c r="D150" s="156" t="s">
        <v>195</v>
      </c>
      <c r="E150" s="157" t="s">
        <v>1</v>
      </c>
      <c r="F150" s="158" t="s">
        <v>516</v>
      </c>
      <c r="H150" s="159">
        <v>1541.0450000000001</v>
      </c>
      <c r="I150" s="160"/>
      <c r="L150" s="155"/>
      <c r="M150" s="161"/>
      <c r="T150" s="162"/>
      <c r="AT150" s="157" t="s">
        <v>195</v>
      </c>
      <c r="AU150" s="157" t="s">
        <v>20</v>
      </c>
      <c r="AV150" s="12" t="s">
        <v>20</v>
      </c>
      <c r="AW150" s="12" t="s">
        <v>37</v>
      </c>
      <c r="AX150" s="12" t="s">
        <v>88</v>
      </c>
      <c r="AY150" s="157" t="s">
        <v>184</v>
      </c>
    </row>
    <row r="151" spans="2:65" s="11" customFormat="1" ht="22.9" customHeight="1" x14ac:dyDescent="0.2">
      <c r="B151" s="127"/>
      <c r="D151" s="128" t="s">
        <v>80</v>
      </c>
      <c r="E151" s="136" t="s">
        <v>214</v>
      </c>
      <c r="F151" s="136" t="s">
        <v>263</v>
      </c>
      <c r="I151" s="171"/>
      <c r="J151" s="137">
        <f>BK151</f>
        <v>2621301.3899999997</v>
      </c>
      <c r="L151" s="127"/>
      <c r="M151" s="131"/>
      <c r="P151" s="132">
        <f>SUM(P152:P183)</f>
        <v>431.73204999999996</v>
      </c>
      <c r="R151" s="132">
        <f>SUM(R152:R183)</f>
        <v>369.48567959999997</v>
      </c>
      <c r="T151" s="133">
        <f>SUM(T152:T183)</f>
        <v>0</v>
      </c>
      <c r="AR151" s="128" t="s">
        <v>88</v>
      </c>
      <c r="AT151" s="134" t="s">
        <v>80</v>
      </c>
      <c r="AU151" s="134" t="s">
        <v>88</v>
      </c>
      <c r="AY151" s="128" t="s">
        <v>184</v>
      </c>
      <c r="BK151" s="135">
        <f>SUM(BK152:BK183)</f>
        <v>2621301.3899999997</v>
      </c>
    </row>
    <row r="152" spans="2:65" s="1" customFormat="1" ht="24.2" customHeight="1" x14ac:dyDescent="0.3">
      <c r="B152" s="33"/>
      <c r="C152" s="138" t="s">
        <v>221</v>
      </c>
      <c r="D152" s="138" t="s">
        <v>186</v>
      </c>
      <c r="E152" s="139" t="s">
        <v>517</v>
      </c>
      <c r="F152" s="140" t="s">
        <v>518</v>
      </c>
      <c r="G152" s="141" t="s">
        <v>189</v>
      </c>
      <c r="H152" s="142">
        <v>1541.05</v>
      </c>
      <c r="I152" s="143">
        <v>125.56</v>
      </c>
      <c r="J152" s="144">
        <f>ROUND(I152*H152,2)</f>
        <v>193494.24</v>
      </c>
      <c r="K152" s="140" t="s">
        <v>190</v>
      </c>
      <c r="L152" s="33"/>
      <c r="M152" s="145" t="s">
        <v>1</v>
      </c>
      <c r="N152" s="146" t="s">
        <v>47</v>
      </c>
      <c r="O152" s="147">
        <v>2.4E-2</v>
      </c>
      <c r="P152" s="147">
        <f>O152*H152</f>
        <v>36.985199999999999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191</v>
      </c>
      <c r="AT152" s="149" t="s">
        <v>186</v>
      </c>
      <c r="AU152" s="149" t="s">
        <v>20</v>
      </c>
      <c r="AY152" s="18" t="s">
        <v>184</v>
      </c>
      <c r="BE152" s="150">
        <f>IF(N152="základní",J152,0)</f>
        <v>193494.24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8" t="s">
        <v>88</v>
      </c>
      <c r="BK152" s="150">
        <f>ROUND(I152*H152,2)</f>
        <v>193494.24</v>
      </c>
      <c r="BL152" s="18" t="s">
        <v>191</v>
      </c>
      <c r="BM152" s="149" t="s">
        <v>519</v>
      </c>
    </row>
    <row r="153" spans="2:65" s="1" customFormat="1" x14ac:dyDescent="0.3">
      <c r="B153" s="33"/>
      <c r="D153" s="151" t="s">
        <v>193</v>
      </c>
      <c r="F153" s="152" t="s">
        <v>520</v>
      </c>
      <c r="I153" s="153"/>
      <c r="L153" s="33"/>
      <c r="M153" s="154"/>
      <c r="T153" s="57"/>
      <c r="AT153" s="18" t="s">
        <v>193</v>
      </c>
      <c r="AU153" s="18" t="s">
        <v>20</v>
      </c>
    </row>
    <row r="154" spans="2:65" s="1" customFormat="1" ht="19.5" x14ac:dyDescent="0.3">
      <c r="B154" s="33"/>
      <c r="D154" s="156" t="s">
        <v>236</v>
      </c>
      <c r="F154" s="170" t="s">
        <v>429</v>
      </c>
      <c r="I154" s="153"/>
      <c r="L154" s="33"/>
      <c r="M154" s="154"/>
      <c r="T154" s="57"/>
      <c r="AT154" s="18" t="s">
        <v>236</v>
      </c>
      <c r="AU154" s="18" t="s">
        <v>20</v>
      </c>
    </row>
    <row r="155" spans="2:65" s="1" customFormat="1" ht="24.2" customHeight="1" x14ac:dyDescent="0.3">
      <c r="B155" s="33"/>
      <c r="C155" s="138" t="s">
        <v>231</v>
      </c>
      <c r="D155" s="138" t="s">
        <v>186</v>
      </c>
      <c r="E155" s="139" t="s">
        <v>521</v>
      </c>
      <c r="F155" s="140" t="s">
        <v>522</v>
      </c>
      <c r="G155" s="141" t="s">
        <v>189</v>
      </c>
      <c r="H155" s="142">
        <v>1541.05</v>
      </c>
      <c r="I155" s="143">
        <v>172.64</v>
      </c>
      <c r="J155" s="144">
        <f>ROUND(I155*H155,2)</f>
        <v>266046.87</v>
      </c>
      <c r="K155" s="140" t="s">
        <v>190</v>
      </c>
      <c r="L155" s="33"/>
      <c r="M155" s="145" t="s">
        <v>1</v>
      </c>
      <c r="N155" s="146" t="s">
        <v>47</v>
      </c>
      <c r="O155" s="147">
        <v>4.2999999999999997E-2</v>
      </c>
      <c r="P155" s="147">
        <f>O155*H155</f>
        <v>66.265149999999991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191</v>
      </c>
      <c r="AT155" s="149" t="s">
        <v>186</v>
      </c>
      <c r="AU155" s="149" t="s">
        <v>20</v>
      </c>
      <c r="AY155" s="18" t="s">
        <v>184</v>
      </c>
      <c r="BE155" s="150">
        <f>IF(N155="základní",J155,0)</f>
        <v>266046.87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8" t="s">
        <v>88</v>
      </c>
      <c r="BK155" s="150">
        <f>ROUND(I155*H155,2)</f>
        <v>266046.87</v>
      </c>
      <c r="BL155" s="18" t="s">
        <v>191</v>
      </c>
      <c r="BM155" s="149" t="s">
        <v>523</v>
      </c>
    </row>
    <row r="156" spans="2:65" s="1" customFormat="1" x14ac:dyDescent="0.3">
      <c r="B156" s="33"/>
      <c r="D156" s="151" t="s">
        <v>193</v>
      </c>
      <c r="F156" s="152" t="s">
        <v>524</v>
      </c>
      <c r="I156" s="153"/>
      <c r="L156" s="33"/>
      <c r="M156" s="154"/>
      <c r="T156" s="57"/>
      <c r="AT156" s="18" t="s">
        <v>193</v>
      </c>
      <c r="AU156" s="18" t="s">
        <v>20</v>
      </c>
    </row>
    <row r="157" spans="2:65" s="1" customFormat="1" ht="19.5" x14ac:dyDescent="0.3">
      <c r="B157" s="33"/>
      <c r="D157" s="156" t="s">
        <v>236</v>
      </c>
      <c r="F157" s="170" t="s">
        <v>434</v>
      </c>
      <c r="I157" s="153"/>
      <c r="L157" s="33"/>
      <c r="M157" s="154"/>
      <c r="T157" s="57"/>
      <c r="AT157" s="18" t="s">
        <v>236</v>
      </c>
      <c r="AU157" s="18" t="s">
        <v>20</v>
      </c>
    </row>
    <row r="158" spans="2:65" s="1" customFormat="1" ht="24.2" customHeight="1" x14ac:dyDescent="0.3">
      <c r="B158" s="33"/>
      <c r="C158" s="138" t="s">
        <v>239</v>
      </c>
      <c r="D158" s="138" t="s">
        <v>186</v>
      </c>
      <c r="E158" s="139" t="s">
        <v>525</v>
      </c>
      <c r="F158" s="140" t="s">
        <v>526</v>
      </c>
      <c r="G158" s="141" t="s">
        <v>189</v>
      </c>
      <c r="H158" s="142">
        <v>1541.05</v>
      </c>
      <c r="I158" s="143">
        <v>172.64</v>
      </c>
      <c r="J158" s="144">
        <f>ROUND(I158*H158,2)</f>
        <v>266046.87</v>
      </c>
      <c r="K158" s="140" t="s">
        <v>190</v>
      </c>
      <c r="L158" s="33"/>
      <c r="M158" s="145" t="s">
        <v>1</v>
      </c>
      <c r="N158" s="146" t="s">
        <v>47</v>
      </c>
      <c r="O158" s="147">
        <v>4.3999999999999997E-2</v>
      </c>
      <c r="P158" s="147">
        <f>O158*H158</f>
        <v>67.80619999999999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49" t="s">
        <v>191</v>
      </c>
      <c r="AT158" s="149" t="s">
        <v>186</v>
      </c>
      <c r="AU158" s="149" t="s">
        <v>20</v>
      </c>
      <c r="AY158" s="18" t="s">
        <v>184</v>
      </c>
      <c r="BE158" s="150">
        <f>IF(N158="základní",J158,0)</f>
        <v>266046.87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8" t="s">
        <v>88</v>
      </c>
      <c r="BK158" s="150">
        <f>ROUND(I158*H158,2)</f>
        <v>266046.87</v>
      </c>
      <c r="BL158" s="18" t="s">
        <v>191</v>
      </c>
      <c r="BM158" s="149" t="s">
        <v>527</v>
      </c>
    </row>
    <row r="159" spans="2:65" s="1" customFormat="1" x14ac:dyDescent="0.3">
      <c r="B159" s="33"/>
      <c r="D159" s="151" t="s">
        <v>193</v>
      </c>
      <c r="F159" s="152" t="s">
        <v>528</v>
      </c>
      <c r="I159" s="153"/>
      <c r="L159" s="33"/>
      <c r="M159" s="154"/>
      <c r="T159" s="57"/>
      <c r="AT159" s="18" t="s">
        <v>193</v>
      </c>
      <c r="AU159" s="18" t="s">
        <v>20</v>
      </c>
    </row>
    <row r="160" spans="2:65" s="1" customFormat="1" ht="19.5" x14ac:dyDescent="0.3">
      <c r="B160" s="33"/>
      <c r="D160" s="156" t="s">
        <v>236</v>
      </c>
      <c r="F160" s="170" t="s">
        <v>439</v>
      </c>
      <c r="I160" s="153"/>
      <c r="L160" s="33"/>
      <c r="M160" s="154"/>
      <c r="T160" s="57"/>
      <c r="AT160" s="18" t="s">
        <v>236</v>
      </c>
      <c r="AU160" s="18" t="s">
        <v>20</v>
      </c>
    </row>
    <row r="161" spans="2:65" s="1" customFormat="1" ht="16.5" customHeight="1" x14ac:dyDescent="0.3">
      <c r="B161" s="33"/>
      <c r="C161" s="172" t="s">
        <v>245</v>
      </c>
      <c r="D161" s="172" t="s">
        <v>271</v>
      </c>
      <c r="E161" s="173" t="s">
        <v>440</v>
      </c>
      <c r="F161" s="174" t="s">
        <v>441</v>
      </c>
      <c r="G161" s="175" t="s">
        <v>248</v>
      </c>
      <c r="H161" s="176">
        <v>38.526000000000003</v>
      </c>
      <c r="I161" s="177">
        <v>5336.19</v>
      </c>
      <c r="J161" s="178">
        <f>ROUND(I161*H161,2)</f>
        <v>205582.06</v>
      </c>
      <c r="K161" s="174" t="s">
        <v>190</v>
      </c>
      <c r="L161" s="179"/>
      <c r="M161" s="180" t="s">
        <v>1</v>
      </c>
      <c r="N161" s="181" t="s">
        <v>47</v>
      </c>
      <c r="O161" s="147">
        <v>0</v>
      </c>
      <c r="P161" s="147">
        <f>O161*H161</f>
        <v>0</v>
      </c>
      <c r="Q161" s="147">
        <v>1</v>
      </c>
      <c r="R161" s="147">
        <f>Q161*H161</f>
        <v>38.526000000000003</v>
      </c>
      <c r="S161" s="147">
        <v>0</v>
      </c>
      <c r="T161" s="148">
        <f>S161*H161</f>
        <v>0</v>
      </c>
      <c r="AR161" s="149" t="s">
        <v>239</v>
      </c>
      <c r="AT161" s="149" t="s">
        <v>271</v>
      </c>
      <c r="AU161" s="149" t="s">
        <v>20</v>
      </c>
      <c r="AY161" s="18" t="s">
        <v>184</v>
      </c>
      <c r="BE161" s="150">
        <f>IF(N161="základní",J161,0)</f>
        <v>205582.06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8" t="s">
        <v>88</v>
      </c>
      <c r="BK161" s="150">
        <f>ROUND(I161*H161,2)</f>
        <v>205582.06</v>
      </c>
      <c r="BL161" s="18" t="s">
        <v>191</v>
      </c>
      <c r="BM161" s="149" t="s">
        <v>529</v>
      </c>
    </row>
    <row r="162" spans="2:65" s="12" customFormat="1" ht="11.25" x14ac:dyDescent="0.3">
      <c r="B162" s="155"/>
      <c r="D162" s="156" t="s">
        <v>195</v>
      </c>
      <c r="E162" s="157" t="s">
        <v>1</v>
      </c>
      <c r="F162" s="158" t="s">
        <v>530</v>
      </c>
      <c r="H162" s="159">
        <v>38.526000000000003</v>
      </c>
      <c r="I162" s="160"/>
      <c r="L162" s="155"/>
      <c r="M162" s="161"/>
      <c r="T162" s="162"/>
      <c r="AT162" s="157" t="s">
        <v>195</v>
      </c>
      <c r="AU162" s="157" t="s">
        <v>20</v>
      </c>
      <c r="AV162" s="12" t="s">
        <v>20</v>
      </c>
      <c r="AW162" s="12" t="s">
        <v>37</v>
      </c>
      <c r="AX162" s="12" t="s">
        <v>88</v>
      </c>
      <c r="AY162" s="157" t="s">
        <v>184</v>
      </c>
    </row>
    <row r="163" spans="2:65" s="1" customFormat="1" ht="16.5" customHeight="1" x14ac:dyDescent="0.3">
      <c r="B163" s="33"/>
      <c r="C163" s="172" t="s">
        <v>252</v>
      </c>
      <c r="D163" s="172" t="s">
        <v>271</v>
      </c>
      <c r="E163" s="173" t="s">
        <v>444</v>
      </c>
      <c r="F163" s="174" t="s">
        <v>445</v>
      </c>
      <c r="G163" s="175" t="s">
        <v>446</v>
      </c>
      <c r="H163" s="176">
        <v>616.41999999999996</v>
      </c>
      <c r="I163" s="177">
        <v>627.78</v>
      </c>
      <c r="J163" s="178">
        <f>ROUND(I163*H163,2)</f>
        <v>386976.15</v>
      </c>
      <c r="K163" s="174" t="s">
        <v>190</v>
      </c>
      <c r="L163" s="179"/>
      <c r="M163" s="180" t="s">
        <v>1</v>
      </c>
      <c r="N163" s="181" t="s">
        <v>47</v>
      </c>
      <c r="O163" s="147">
        <v>0</v>
      </c>
      <c r="P163" s="147">
        <f>O163*H163</f>
        <v>0</v>
      </c>
      <c r="Q163" s="147">
        <v>1E-3</v>
      </c>
      <c r="R163" s="147">
        <f>Q163*H163</f>
        <v>0.61641999999999997</v>
      </c>
      <c r="S163" s="147">
        <v>0</v>
      </c>
      <c r="T163" s="148">
        <f>S163*H163</f>
        <v>0</v>
      </c>
      <c r="AR163" s="149" t="s">
        <v>239</v>
      </c>
      <c r="AT163" s="149" t="s">
        <v>271</v>
      </c>
      <c r="AU163" s="149" t="s">
        <v>20</v>
      </c>
      <c r="AY163" s="18" t="s">
        <v>184</v>
      </c>
      <c r="BE163" s="150">
        <f>IF(N163="základní",J163,0)</f>
        <v>386976.15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8" t="s">
        <v>88</v>
      </c>
      <c r="BK163" s="150">
        <f>ROUND(I163*H163,2)</f>
        <v>386976.15</v>
      </c>
      <c r="BL163" s="18" t="s">
        <v>191</v>
      </c>
      <c r="BM163" s="149" t="s">
        <v>531</v>
      </c>
    </row>
    <row r="164" spans="2:65" s="12" customFormat="1" ht="11.25" x14ac:dyDescent="0.3">
      <c r="B164" s="155"/>
      <c r="D164" s="156" t="s">
        <v>195</v>
      </c>
      <c r="E164" s="157" t="s">
        <v>1</v>
      </c>
      <c r="F164" s="158" t="s">
        <v>532</v>
      </c>
      <c r="H164" s="159">
        <v>616.41999999999996</v>
      </c>
      <c r="I164" s="160"/>
      <c r="L164" s="155"/>
      <c r="M164" s="161"/>
      <c r="T164" s="162"/>
      <c r="AT164" s="157" t="s">
        <v>195</v>
      </c>
      <c r="AU164" s="157" t="s">
        <v>20</v>
      </c>
      <c r="AV164" s="12" t="s">
        <v>20</v>
      </c>
      <c r="AW164" s="12" t="s">
        <v>37</v>
      </c>
      <c r="AX164" s="12" t="s">
        <v>88</v>
      </c>
      <c r="AY164" s="157" t="s">
        <v>184</v>
      </c>
    </row>
    <row r="165" spans="2:65" s="1" customFormat="1" ht="16.5" customHeight="1" x14ac:dyDescent="0.3">
      <c r="B165" s="33"/>
      <c r="C165" s="138" t="s">
        <v>257</v>
      </c>
      <c r="D165" s="138" t="s">
        <v>186</v>
      </c>
      <c r="E165" s="139" t="s">
        <v>533</v>
      </c>
      <c r="F165" s="140" t="s">
        <v>534</v>
      </c>
      <c r="G165" s="141" t="s">
        <v>189</v>
      </c>
      <c r="H165" s="142">
        <v>1129.22</v>
      </c>
      <c r="I165" s="143">
        <v>94.17</v>
      </c>
      <c r="J165" s="144">
        <f>ROUND(I165*H165,2)</f>
        <v>106338.65</v>
      </c>
      <c r="K165" s="140" t="s">
        <v>190</v>
      </c>
      <c r="L165" s="33"/>
      <c r="M165" s="145" t="s">
        <v>1</v>
      </c>
      <c r="N165" s="146" t="s">
        <v>47</v>
      </c>
      <c r="O165" s="147">
        <v>4.0000000000000001E-3</v>
      </c>
      <c r="P165" s="147">
        <f>O165*H165</f>
        <v>4.5168800000000005</v>
      </c>
      <c r="Q165" s="147">
        <v>6.5199999999999998E-3</v>
      </c>
      <c r="R165" s="147">
        <f>Q165*H165</f>
        <v>7.3625144000000002</v>
      </c>
      <c r="S165" s="147">
        <v>0</v>
      </c>
      <c r="T165" s="148">
        <f>S165*H165</f>
        <v>0</v>
      </c>
      <c r="AR165" s="149" t="s">
        <v>191</v>
      </c>
      <c r="AT165" s="149" t="s">
        <v>186</v>
      </c>
      <c r="AU165" s="149" t="s">
        <v>20</v>
      </c>
      <c r="AY165" s="18" t="s">
        <v>184</v>
      </c>
      <c r="BE165" s="150">
        <f>IF(N165="základní",J165,0)</f>
        <v>106338.65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8" t="s">
        <v>88</v>
      </c>
      <c r="BK165" s="150">
        <f>ROUND(I165*H165,2)</f>
        <v>106338.65</v>
      </c>
      <c r="BL165" s="18" t="s">
        <v>191</v>
      </c>
      <c r="BM165" s="149" t="s">
        <v>535</v>
      </c>
    </row>
    <row r="166" spans="2:65" s="1" customFormat="1" x14ac:dyDescent="0.3">
      <c r="B166" s="33"/>
      <c r="D166" s="151" t="s">
        <v>193</v>
      </c>
      <c r="F166" s="152" t="s">
        <v>536</v>
      </c>
      <c r="I166" s="153"/>
      <c r="L166" s="33"/>
      <c r="M166" s="154"/>
      <c r="T166" s="57"/>
      <c r="AT166" s="18" t="s">
        <v>193</v>
      </c>
      <c r="AU166" s="18" t="s">
        <v>20</v>
      </c>
    </row>
    <row r="167" spans="2:65" s="12" customFormat="1" ht="11.25" x14ac:dyDescent="0.3">
      <c r="B167" s="155"/>
      <c r="D167" s="156" t="s">
        <v>195</v>
      </c>
      <c r="E167" s="157" t="s">
        <v>1</v>
      </c>
      <c r="F167" s="158" t="s">
        <v>537</v>
      </c>
      <c r="H167" s="159">
        <v>920.48</v>
      </c>
      <c r="I167" s="160"/>
      <c r="L167" s="155"/>
      <c r="M167" s="161"/>
      <c r="T167" s="162"/>
      <c r="AT167" s="157" t="s">
        <v>195</v>
      </c>
      <c r="AU167" s="157" t="s">
        <v>20</v>
      </c>
      <c r="AV167" s="12" t="s">
        <v>20</v>
      </c>
      <c r="AW167" s="12" t="s">
        <v>37</v>
      </c>
      <c r="AX167" s="12" t="s">
        <v>81</v>
      </c>
      <c r="AY167" s="157" t="s">
        <v>184</v>
      </c>
    </row>
    <row r="168" spans="2:65" s="12" customFormat="1" ht="11.25" x14ac:dyDescent="0.3">
      <c r="B168" s="155"/>
      <c r="D168" s="156" t="s">
        <v>195</v>
      </c>
      <c r="E168" s="157" t="s">
        <v>1</v>
      </c>
      <c r="F168" s="158" t="s">
        <v>538</v>
      </c>
      <c r="H168" s="159">
        <v>208.74</v>
      </c>
      <c r="I168" s="160"/>
      <c r="L168" s="155"/>
      <c r="M168" s="161"/>
      <c r="T168" s="162"/>
      <c r="AT168" s="157" t="s">
        <v>195</v>
      </c>
      <c r="AU168" s="157" t="s">
        <v>20</v>
      </c>
      <c r="AV168" s="12" t="s">
        <v>20</v>
      </c>
      <c r="AW168" s="12" t="s">
        <v>37</v>
      </c>
      <c r="AX168" s="12" t="s">
        <v>81</v>
      </c>
      <c r="AY168" s="157" t="s">
        <v>184</v>
      </c>
    </row>
    <row r="169" spans="2:65" s="13" customFormat="1" ht="11.25" x14ac:dyDescent="0.3">
      <c r="B169" s="163"/>
      <c r="D169" s="156" t="s">
        <v>195</v>
      </c>
      <c r="E169" s="164" t="s">
        <v>1</v>
      </c>
      <c r="F169" s="165" t="s">
        <v>230</v>
      </c>
      <c r="H169" s="166">
        <v>1129.22</v>
      </c>
      <c r="I169" s="167"/>
      <c r="L169" s="163"/>
      <c r="M169" s="168"/>
      <c r="T169" s="169"/>
      <c r="AT169" s="164" t="s">
        <v>195</v>
      </c>
      <c r="AU169" s="164" t="s">
        <v>20</v>
      </c>
      <c r="AV169" s="13" t="s">
        <v>191</v>
      </c>
      <c r="AW169" s="13" t="s">
        <v>37</v>
      </c>
      <c r="AX169" s="13" t="s">
        <v>88</v>
      </c>
      <c r="AY169" s="164" t="s">
        <v>184</v>
      </c>
    </row>
    <row r="170" spans="2:65" s="1" customFormat="1" ht="21.75" customHeight="1" x14ac:dyDescent="0.3">
      <c r="B170" s="33"/>
      <c r="C170" s="138" t="s">
        <v>264</v>
      </c>
      <c r="D170" s="138" t="s">
        <v>186</v>
      </c>
      <c r="E170" s="139" t="s">
        <v>539</v>
      </c>
      <c r="F170" s="140" t="s">
        <v>540</v>
      </c>
      <c r="G170" s="141" t="s">
        <v>189</v>
      </c>
      <c r="H170" s="142">
        <v>1129.22</v>
      </c>
      <c r="I170" s="143">
        <v>627.76</v>
      </c>
      <c r="J170" s="144">
        <f>ROUND(I170*H170,2)</f>
        <v>708879.15</v>
      </c>
      <c r="K170" s="140" t="s">
        <v>190</v>
      </c>
      <c r="L170" s="33"/>
      <c r="M170" s="145" t="s">
        <v>1</v>
      </c>
      <c r="N170" s="146" t="s">
        <v>47</v>
      </c>
      <c r="O170" s="147">
        <v>7.0999999999999994E-2</v>
      </c>
      <c r="P170" s="147">
        <f>O170*H170</f>
        <v>80.17461999999999</v>
      </c>
      <c r="Q170" s="147">
        <v>0.12966</v>
      </c>
      <c r="R170" s="147">
        <f>Q170*H170</f>
        <v>146.4146652</v>
      </c>
      <c r="S170" s="147">
        <v>0</v>
      </c>
      <c r="T170" s="148">
        <f>S170*H170</f>
        <v>0</v>
      </c>
      <c r="AR170" s="149" t="s">
        <v>191</v>
      </c>
      <c r="AT170" s="149" t="s">
        <v>186</v>
      </c>
      <c r="AU170" s="149" t="s">
        <v>20</v>
      </c>
      <c r="AY170" s="18" t="s">
        <v>184</v>
      </c>
      <c r="BE170" s="150">
        <f>IF(N170="základní",J170,0)</f>
        <v>708879.15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8" t="s">
        <v>88</v>
      </c>
      <c r="BK170" s="150">
        <f>ROUND(I170*H170,2)</f>
        <v>708879.15</v>
      </c>
      <c r="BL170" s="18" t="s">
        <v>191</v>
      </c>
      <c r="BM170" s="149" t="s">
        <v>541</v>
      </c>
    </row>
    <row r="171" spans="2:65" s="1" customFormat="1" x14ac:dyDescent="0.3">
      <c r="B171" s="33"/>
      <c r="D171" s="151" t="s">
        <v>193</v>
      </c>
      <c r="F171" s="152" t="s">
        <v>542</v>
      </c>
      <c r="I171" s="153"/>
      <c r="L171" s="33"/>
      <c r="M171" s="154"/>
      <c r="T171" s="57"/>
      <c r="AT171" s="18" t="s">
        <v>193</v>
      </c>
      <c r="AU171" s="18" t="s">
        <v>20</v>
      </c>
    </row>
    <row r="172" spans="2:65" s="1" customFormat="1" ht="19.5" x14ac:dyDescent="0.3">
      <c r="B172" s="33"/>
      <c r="D172" s="156" t="s">
        <v>236</v>
      </c>
      <c r="F172" s="170" t="s">
        <v>543</v>
      </c>
      <c r="I172" s="153"/>
      <c r="L172" s="33"/>
      <c r="M172" s="154"/>
      <c r="T172" s="57"/>
      <c r="AT172" s="18" t="s">
        <v>236</v>
      </c>
      <c r="AU172" s="18" t="s">
        <v>20</v>
      </c>
    </row>
    <row r="173" spans="2:65" s="12" customFormat="1" ht="11.25" x14ac:dyDescent="0.3">
      <c r="B173" s="155"/>
      <c r="D173" s="156" t="s">
        <v>195</v>
      </c>
      <c r="E173" s="157" t="s">
        <v>1</v>
      </c>
      <c r="F173" s="158" t="s">
        <v>537</v>
      </c>
      <c r="H173" s="159">
        <v>920.48</v>
      </c>
      <c r="I173" s="160"/>
      <c r="L173" s="155"/>
      <c r="M173" s="161"/>
      <c r="T173" s="162"/>
      <c r="AT173" s="157" t="s">
        <v>195</v>
      </c>
      <c r="AU173" s="157" t="s">
        <v>20</v>
      </c>
      <c r="AV173" s="12" t="s">
        <v>20</v>
      </c>
      <c r="AW173" s="12" t="s">
        <v>37</v>
      </c>
      <c r="AX173" s="12" t="s">
        <v>81</v>
      </c>
      <c r="AY173" s="157" t="s">
        <v>184</v>
      </c>
    </row>
    <row r="174" spans="2:65" s="12" customFormat="1" ht="11.25" x14ac:dyDescent="0.3">
      <c r="B174" s="155"/>
      <c r="D174" s="156" t="s">
        <v>195</v>
      </c>
      <c r="E174" s="157" t="s">
        <v>1</v>
      </c>
      <c r="F174" s="158" t="s">
        <v>538</v>
      </c>
      <c r="H174" s="159">
        <v>208.74</v>
      </c>
      <c r="I174" s="160"/>
      <c r="L174" s="155"/>
      <c r="M174" s="161"/>
      <c r="T174" s="162"/>
      <c r="AT174" s="157" t="s">
        <v>195</v>
      </c>
      <c r="AU174" s="157" t="s">
        <v>20</v>
      </c>
      <c r="AV174" s="12" t="s">
        <v>20</v>
      </c>
      <c r="AW174" s="12" t="s">
        <v>37</v>
      </c>
      <c r="AX174" s="12" t="s">
        <v>81</v>
      </c>
      <c r="AY174" s="157" t="s">
        <v>184</v>
      </c>
    </row>
    <row r="175" spans="2:65" s="13" customFormat="1" ht="11.25" x14ac:dyDescent="0.3">
      <c r="B175" s="163"/>
      <c r="D175" s="156" t="s">
        <v>195</v>
      </c>
      <c r="E175" s="164" t="s">
        <v>1</v>
      </c>
      <c r="F175" s="165" t="s">
        <v>230</v>
      </c>
      <c r="H175" s="166">
        <v>1129.22</v>
      </c>
      <c r="I175" s="167"/>
      <c r="L175" s="163"/>
      <c r="M175" s="168"/>
      <c r="T175" s="169"/>
      <c r="AT175" s="164" t="s">
        <v>195</v>
      </c>
      <c r="AU175" s="164" t="s">
        <v>20</v>
      </c>
      <c r="AV175" s="13" t="s">
        <v>191</v>
      </c>
      <c r="AW175" s="13" t="s">
        <v>37</v>
      </c>
      <c r="AX175" s="13" t="s">
        <v>88</v>
      </c>
      <c r="AY175" s="164" t="s">
        <v>184</v>
      </c>
    </row>
    <row r="176" spans="2:65" s="1" customFormat="1" ht="16.5" customHeight="1" x14ac:dyDescent="0.3">
      <c r="B176" s="33"/>
      <c r="C176" s="138" t="s">
        <v>270</v>
      </c>
      <c r="D176" s="138" t="s">
        <v>186</v>
      </c>
      <c r="E176" s="139" t="s">
        <v>544</v>
      </c>
      <c r="F176" s="140" t="s">
        <v>545</v>
      </c>
      <c r="G176" s="141" t="s">
        <v>189</v>
      </c>
      <c r="H176" s="142">
        <v>272</v>
      </c>
      <c r="I176" s="143">
        <v>451.33</v>
      </c>
      <c r="J176" s="144">
        <f>ROUND(I176*H176,2)</f>
        <v>122761.76</v>
      </c>
      <c r="K176" s="140" t="s">
        <v>1</v>
      </c>
      <c r="L176" s="33"/>
      <c r="M176" s="145" t="s">
        <v>1</v>
      </c>
      <c r="N176" s="146" t="s">
        <v>47</v>
      </c>
      <c r="O176" s="147">
        <v>2.7E-2</v>
      </c>
      <c r="P176" s="147">
        <f>O176*H176</f>
        <v>7.3440000000000003</v>
      </c>
      <c r="Q176" s="147">
        <v>0.37724000000000002</v>
      </c>
      <c r="R176" s="147">
        <f>Q176*H176</f>
        <v>102.60928000000001</v>
      </c>
      <c r="S176" s="147">
        <v>0</v>
      </c>
      <c r="T176" s="148">
        <f>S176*H176</f>
        <v>0</v>
      </c>
      <c r="AR176" s="149" t="s">
        <v>191</v>
      </c>
      <c r="AT176" s="149" t="s">
        <v>186</v>
      </c>
      <c r="AU176" s="149" t="s">
        <v>20</v>
      </c>
      <c r="AY176" s="18" t="s">
        <v>184</v>
      </c>
      <c r="BE176" s="150">
        <f>IF(N176="základní",J176,0)</f>
        <v>122761.76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8" t="s">
        <v>88</v>
      </c>
      <c r="BK176" s="150">
        <f>ROUND(I176*H176,2)</f>
        <v>122761.76</v>
      </c>
      <c r="BL176" s="18" t="s">
        <v>191</v>
      </c>
      <c r="BM176" s="149" t="s">
        <v>546</v>
      </c>
    </row>
    <row r="177" spans="2:65" s="14" customFormat="1" ht="11.25" x14ac:dyDescent="0.3">
      <c r="B177" s="192"/>
      <c r="D177" s="156" t="s">
        <v>195</v>
      </c>
      <c r="E177" s="193" t="s">
        <v>1</v>
      </c>
      <c r="F177" s="194" t="s">
        <v>547</v>
      </c>
      <c r="H177" s="193" t="s">
        <v>1</v>
      </c>
      <c r="I177" s="195"/>
      <c r="L177" s="192"/>
      <c r="M177" s="196"/>
      <c r="T177" s="197"/>
      <c r="AT177" s="193" t="s">
        <v>195</v>
      </c>
      <c r="AU177" s="193" t="s">
        <v>20</v>
      </c>
      <c r="AV177" s="14" t="s">
        <v>88</v>
      </c>
      <c r="AW177" s="14" t="s">
        <v>37</v>
      </c>
      <c r="AX177" s="14" t="s">
        <v>81</v>
      </c>
      <c r="AY177" s="193" t="s">
        <v>184</v>
      </c>
    </row>
    <row r="178" spans="2:65" s="12" customFormat="1" ht="11.25" x14ac:dyDescent="0.3">
      <c r="B178" s="155"/>
      <c r="D178" s="156" t="s">
        <v>195</v>
      </c>
      <c r="E178" s="157" t="s">
        <v>1</v>
      </c>
      <c r="F178" s="158" t="s">
        <v>548</v>
      </c>
      <c r="H178" s="159">
        <v>272</v>
      </c>
      <c r="I178" s="160"/>
      <c r="L178" s="155"/>
      <c r="M178" s="161"/>
      <c r="T178" s="162"/>
      <c r="AT178" s="157" t="s">
        <v>195</v>
      </c>
      <c r="AU178" s="157" t="s">
        <v>20</v>
      </c>
      <c r="AV178" s="12" t="s">
        <v>20</v>
      </c>
      <c r="AW178" s="12" t="s">
        <v>37</v>
      </c>
      <c r="AX178" s="12" t="s">
        <v>88</v>
      </c>
      <c r="AY178" s="157" t="s">
        <v>184</v>
      </c>
    </row>
    <row r="179" spans="2:65" s="1" customFormat="1" ht="21.75" customHeight="1" x14ac:dyDescent="0.3">
      <c r="B179" s="33"/>
      <c r="C179" s="138" t="s">
        <v>276</v>
      </c>
      <c r="D179" s="138" t="s">
        <v>186</v>
      </c>
      <c r="E179" s="139" t="s">
        <v>449</v>
      </c>
      <c r="F179" s="140" t="s">
        <v>450</v>
      </c>
      <c r="G179" s="141" t="s">
        <v>189</v>
      </c>
      <c r="H179" s="142">
        <v>272</v>
      </c>
      <c r="I179" s="143">
        <v>674.86</v>
      </c>
      <c r="J179" s="144">
        <f>ROUND(I179*H179,2)</f>
        <v>183561.92</v>
      </c>
      <c r="K179" s="140" t="s">
        <v>1</v>
      </c>
      <c r="L179" s="33"/>
      <c r="M179" s="145" t="s">
        <v>1</v>
      </c>
      <c r="N179" s="146" t="s">
        <v>47</v>
      </c>
      <c r="O179" s="147">
        <v>0.62</v>
      </c>
      <c r="P179" s="147">
        <f>O179*H179</f>
        <v>168.64</v>
      </c>
      <c r="Q179" s="147">
        <v>9.0620000000000006E-2</v>
      </c>
      <c r="R179" s="147">
        <f>Q179*H179</f>
        <v>24.64864</v>
      </c>
      <c r="S179" s="147">
        <v>0</v>
      </c>
      <c r="T179" s="148">
        <f>S179*H179</f>
        <v>0</v>
      </c>
      <c r="AR179" s="149" t="s">
        <v>191</v>
      </c>
      <c r="AT179" s="149" t="s">
        <v>186</v>
      </c>
      <c r="AU179" s="149" t="s">
        <v>20</v>
      </c>
      <c r="AY179" s="18" t="s">
        <v>184</v>
      </c>
      <c r="BE179" s="150">
        <f>IF(N179="základní",J179,0)</f>
        <v>183561.92</v>
      </c>
      <c r="BF179" s="150">
        <f>IF(N179="snížená",J179,0)</f>
        <v>0</v>
      </c>
      <c r="BG179" s="150">
        <f>IF(N179="zákl. přenesená",J179,0)</f>
        <v>0</v>
      </c>
      <c r="BH179" s="150">
        <f>IF(N179="sníž. přenesená",J179,0)</f>
        <v>0</v>
      </c>
      <c r="BI179" s="150">
        <f>IF(N179="nulová",J179,0)</f>
        <v>0</v>
      </c>
      <c r="BJ179" s="18" t="s">
        <v>88</v>
      </c>
      <c r="BK179" s="150">
        <f>ROUND(I179*H179,2)</f>
        <v>183561.92</v>
      </c>
      <c r="BL179" s="18" t="s">
        <v>191</v>
      </c>
      <c r="BM179" s="149" t="s">
        <v>549</v>
      </c>
    </row>
    <row r="180" spans="2:65" s="14" customFormat="1" ht="11.25" x14ac:dyDescent="0.3">
      <c r="B180" s="192"/>
      <c r="D180" s="156" t="s">
        <v>195</v>
      </c>
      <c r="E180" s="193" t="s">
        <v>1</v>
      </c>
      <c r="F180" s="194" t="s">
        <v>547</v>
      </c>
      <c r="H180" s="193" t="s">
        <v>1</v>
      </c>
      <c r="I180" s="195"/>
      <c r="L180" s="192"/>
      <c r="M180" s="196"/>
      <c r="T180" s="197"/>
      <c r="AT180" s="193" t="s">
        <v>195</v>
      </c>
      <c r="AU180" s="193" t="s">
        <v>20</v>
      </c>
      <c r="AV180" s="14" t="s">
        <v>88</v>
      </c>
      <c r="AW180" s="14" t="s">
        <v>37</v>
      </c>
      <c r="AX180" s="14" t="s">
        <v>81</v>
      </c>
      <c r="AY180" s="193" t="s">
        <v>184</v>
      </c>
    </row>
    <row r="181" spans="2:65" s="12" customFormat="1" ht="11.25" x14ac:dyDescent="0.3">
      <c r="B181" s="155"/>
      <c r="D181" s="156" t="s">
        <v>195</v>
      </c>
      <c r="E181" s="157" t="s">
        <v>1</v>
      </c>
      <c r="F181" s="158" t="s">
        <v>548</v>
      </c>
      <c r="H181" s="159">
        <v>272</v>
      </c>
      <c r="I181" s="160"/>
      <c r="L181" s="155"/>
      <c r="M181" s="161"/>
      <c r="T181" s="162"/>
      <c r="AT181" s="157" t="s">
        <v>195</v>
      </c>
      <c r="AU181" s="157" t="s">
        <v>20</v>
      </c>
      <c r="AV181" s="12" t="s">
        <v>20</v>
      </c>
      <c r="AW181" s="12" t="s">
        <v>37</v>
      </c>
      <c r="AX181" s="12" t="s">
        <v>88</v>
      </c>
      <c r="AY181" s="157" t="s">
        <v>184</v>
      </c>
    </row>
    <row r="182" spans="2:65" s="1" customFormat="1" ht="16.5" customHeight="1" x14ac:dyDescent="0.3">
      <c r="B182" s="33"/>
      <c r="C182" s="172" t="s">
        <v>7</v>
      </c>
      <c r="D182" s="172" t="s">
        <v>271</v>
      </c>
      <c r="E182" s="173" t="s">
        <v>550</v>
      </c>
      <c r="F182" s="174" t="s">
        <v>551</v>
      </c>
      <c r="G182" s="175" t="s">
        <v>189</v>
      </c>
      <c r="H182" s="176">
        <v>280.16000000000003</v>
      </c>
      <c r="I182" s="177">
        <v>648.25</v>
      </c>
      <c r="J182" s="178">
        <f>ROUND(I182*H182,2)</f>
        <v>181613.72</v>
      </c>
      <c r="K182" s="174" t="s">
        <v>552</v>
      </c>
      <c r="L182" s="179"/>
      <c r="M182" s="180" t="s">
        <v>1</v>
      </c>
      <c r="N182" s="181" t="s">
        <v>47</v>
      </c>
      <c r="O182" s="147">
        <v>0</v>
      </c>
      <c r="P182" s="147">
        <f>O182*H182</f>
        <v>0</v>
      </c>
      <c r="Q182" s="147">
        <v>0.17599999999999999</v>
      </c>
      <c r="R182" s="147">
        <f>Q182*H182</f>
        <v>49.308160000000001</v>
      </c>
      <c r="S182" s="147">
        <v>0</v>
      </c>
      <c r="T182" s="148">
        <f>S182*H182</f>
        <v>0</v>
      </c>
      <c r="AR182" s="149" t="s">
        <v>239</v>
      </c>
      <c r="AT182" s="149" t="s">
        <v>271</v>
      </c>
      <c r="AU182" s="149" t="s">
        <v>20</v>
      </c>
      <c r="AY182" s="18" t="s">
        <v>184</v>
      </c>
      <c r="BE182" s="150">
        <f>IF(N182="základní",J182,0)</f>
        <v>181613.72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8" t="s">
        <v>88</v>
      </c>
      <c r="BK182" s="150">
        <f>ROUND(I182*H182,2)</f>
        <v>181613.72</v>
      </c>
      <c r="BL182" s="18" t="s">
        <v>191</v>
      </c>
      <c r="BM182" s="149" t="s">
        <v>553</v>
      </c>
    </row>
    <row r="183" spans="2:65" s="12" customFormat="1" ht="11.25" x14ac:dyDescent="0.3">
      <c r="B183" s="155"/>
      <c r="D183" s="156" t="s">
        <v>195</v>
      </c>
      <c r="F183" s="158" t="s">
        <v>554</v>
      </c>
      <c r="H183" s="159">
        <v>280.16000000000003</v>
      </c>
      <c r="I183" s="160"/>
      <c r="L183" s="155"/>
      <c r="M183" s="161"/>
      <c r="T183" s="162"/>
      <c r="AT183" s="157" t="s">
        <v>195</v>
      </c>
      <c r="AU183" s="157" t="s">
        <v>20</v>
      </c>
      <c r="AV183" s="12" t="s">
        <v>20</v>
      </c>
      <c r="AW183" s="12" t="s">
        <v>3</v>
      </c>
      <c r="AX183" s="12" t="s">
        <v>88</v>
      </c>
      <c r="AY183" s="157" t="s">
        <v>184</v>
      </c>
    </row>
    <row r="184" spans="2:65" s="11" customFormat="1" ht="22.9" customHeight="1" x14ac:dyDescent="0.2">
      <c r="B184" s="127"/>
      <c r="D184" s="128" t="s">
        <v>80</v>
      </c>
      <c r="E184" s="136" t="s">
        <v>245</v>
      </c>
      <c r="F184" s="136" t="s">
        <v>304</v>
      </c>
      <c r="I184" s="171"/>
      <c r="J184" s="137">
        <f>BK184</f>
        <v>428904.84</v>
      </c>
      <c r="L184" s="127"/>
      <c r="M184" s="131"/>
      <c r="P184" s="132">
        <f>SUM(P185:P248)</f>
        <v>177.76599999999996</v>
      </c>
      <c r="R184" s="132">
        <f>SUM(R185:R248)</f>
        <v>119.82438399999998</v>
      </c>
      <c r="T184" s="133">
        <f>SUM(T185:T248)</f>
        <v>47.050000000000004</v>
      </c>
      <c r="AR184" s="128" t="s">
        <v>88</v>
      </c>
      <c r="AT184" s="134" t="s">
        <v>80</v>
      </c>
      <c r="AU184" s="134" t="s">
        <v>88</v>
      </c>
      <c r="AY184" s="128" t="s">
        <v>184</v>
      </c>
      <c r="BK184" s="135">
        <f>SUM(BK185:BK248)</f>
        <v>428904.84</v>
      </c>
    </row>
    <row r="185" spans="2:65" s="1" customFormat="1" ht="16.5" customHeight="1" x14ac:dyDescent="0.3">
      <c r="B185" s="33"/>
      <c r="C185" s="138" t="s">
        <v>287</v>
      </c>
      <c r="D185" s="138" t="s">
        <v>186</v>
      </c>
      <c r="E185" s="139" t="s">
        <v>555</v>
      </c>
      <c r="F185" s="140" t="s">
        <v>556</v>
      </c>
      <c r="G185" s="141" t="s">
        <v>557</v>
      </c>
      <c r="H185" s="142">
        <v>5</v>
      </c>
      <c r="I185" s="143">
        <v>381.79</v>
      </c>
      <c r="J185" s="144">
        <f>ROUND(I185*H185,2)</f>
        <v>1908.95</v>
      </c>
      <c r="K185" s="140" t="s">
        <v>190</v>
      </c>
      <c r="L185" s="33"/>
      <c r="M185" s="145" t="s">
        <v>1</v>
      </c>
      <c r="N185" s="146" t="s">
        <v>47</v>
      </c>
      <c r="O185" s="147">
        <v>0.2</v>
      </c>
      <c r="P185" s="147">
        <f>O185*H185</f>
        <v>1</v>
      </c>
      <c r="Q185" s="147">
        <v>6.9999999999999999E-4</v>
      </c>
      <c r="R185" s="147">
        <f>Q185*H185</f>
        <v>3.5000000000000001E-3</v>
      </c>
      <c r="S185" s="147">
        <v>0</v>
      </c>
      <c r="T185" s="148">
        <f>S185*H185</f>
        <v>0</v>
      </c>
      <c r="AR185" s="149" t="s">
        <v>191</v>
      </c>
      <c r="AT185" s="149" t="s">
        <v>186</v>
      </c>
      <c r="AU185" s="149" t="s">
        <v>20</v>
      </c>
      <c r="AY185" s="18" t="s">
        <v>184</v>
      </c>
      <c r="BE185" s="150">
        <f>IF(N185="základní",J185,0)</f>
        <v>1908.95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8" t="s">
        <v>88</v>
      </c>
      <c r="BK185" s="150">
        <f>ROUND(I185*H185,2)</f>
        <v>1908.95</v>
      </c>
      <c r="BL185" s="18" t="s">
        <v>191</v>
      </c>
      <c r="BM185" s="149" t="s">
        <v>558</v>
      </c>
    </row>
    <row r="186" spans="2:65" s="1" customFormat="1" x14ac:dyDescent="0.3">
      <c r="B186" s="33"/>
      <c r="D186" s="151" t="s">
        <v>193</v>
      </c>
      <c r="F186" s="152" t="s">
        <v>559</v>
      </c>
      <c r="I186" s="153"/>
      <c r="L186" s="33"/>
      <c r="M186" s="154"/>
      <c r="T186" s="57"/>
      <c r="AT186" s="18" t="s">
        <v>193</v>
      </c>
      <c r="AU186" s="18" t="s">
        <v>20</v>
      </c>
    </row>
    <row r="187" spans="2:65" s="12" customFormat="1" ht="11.25" x14ac:dyDescent="0.3">
      <c r="B187" s="155"/>
      <c r="D187" s="156" t="s">
        <v>195</v>
      </c>
      <c r="E187" s="157" t="s">
        <v>1</v>
      </c>
      <c r="F187" s="158" t="s">
        <v>560</v>
      </c>
      <c r="H187" s="159">
        <v>4</v>
      </c>
      <c r="I187" s="160"/>
      <c r="L187" s="155"/>
      <c r="M187" s="161"/>
      <c r="T187" s="162"/>
      <c r="AT187" s="157" t="s">
        <v>195</v>
      </c>
      <c r="AU187" s="157" t="s">
        <v>20</v>
      </c>
      <c r="AV187" s="12" t="s">
        <v>20</v>
      </c>
      <c r="AW187" s="12" t="s">
        <v>37</v>
      </c>
      <c r="AX187" s="12" t="s">
        <v>81</v>
      </c>
      <c r="AY187" s="157" t="s">
        <v>184</v>
      </c>
    </row>
    <row r="188" spans="2:65" s="12" customFormat="1" ht="11.25" x14ac:dyDescent="0.3">
      <c r="B188" s="155"/>
      <c r="D188" s="156" t="s">
        <v>195</v>
      </c>
      <c r="E188" s="157" t="s">
        <v>1</v>
      </c>
      <c r="F188" s="158" t="s">
        <v>561</v>
      </c>
      <c r="H188" s="159">
        <v>1</v>
      </c>
      <c r="I188" s="160"/>
      <c r="L188" s="155"/>
      <c r="M188" s="161"/>
      <c r="T188" s="162"/>
      <c r="AT188" s="157" t="s">
        <v>195</v>
      </c>
      <c r="AU188" s="157" t="s">
        <v>20</v>
      </c>
      <c r="AV188" s="12" t="s">
        <v>20</v>
      </c>
      <c r="AW188" s="12" t="s">
        <v>37</v>
      </c>
      <c r="AX188" s="12" t="s">
        <v>81</v>
      </c>
      <c r="AY188" s="157" t="s">
        <v>184</v>
      </c>
    </row>
    <row r="189" spans="2:65" s="13" customFormat="1" ht="11.25" x14ac:dyDescent="0.3">
      <c r="B189" s="163"/>
      <c r="D189" s="156" t="s">
        <v>195</v>
      </c>
      <c r="E189" s="164" t="s">
        <v>1</v>
      </c>
      <c r="F189" s="165" t="s">
        <v>230</v>
      </c>
      <c r="H189" s="166">
        <v>5</v>
      </c>
      <c r="I189" s="167"/>
      <c r="L189" s="163"/>
      <c r="M189" s="168"/>
      <c r="T189" s="169"/>
      <c r="AT189" s="164" t="s">
        <v>195</v>
      </c>
      <c r="AU189" s="164" t="s">
        <v>20</v>
      </c>
      <c r="AV189" s="13" t="s">
        <v>191</v>
      </c>
      <c r="AW189" s="13" t="s">
        <v>37</v>
      </c>
      <c r="AX189" s="13" t="s">
        <v>88</v>
      </c>
      <c r="AY189" s="164" t="s">
        <v>184</v>
      </c>
    </row>
    <row r="190" spans="2:65" s="1" customFormat="1" ht="16.5" customHeight="1" x14ac:dyDescent="0.3">
      <c r="B190" s="33"/>
      <c r="C190" s="172" t="s">
        <v>293</v>
      </c>
      <c r="D190" s="172" t="s">
        <v>271</v>
      </c>
      <c r="E190" s="173" t="s">
        <v>562</v>
      </c>
      <c r="F190" s="174" t="s">
        <v>563</v>
      </c>
      <c r="G190" s="175" t="s">
        <v>557</v>
      </c>
      <c r="H190" s="176">
        <v>4</v>
      </c>
      <c r="I190" s="177">
        <v>4581.53</v>
      </c>
      <c r="J190" s="178">
        <f>ROUND(I190*H190,2)</f>
        <v>18326.12</v>
      </c>
      <c r="K190" s="174" t="s">
        <v>190</v>
      </c>
      <c r="L190" s="179"/>
      <c r="M190" s="180" t="s">
        <v>1</v>
      </c>
      <c r="N190" s="181" t="s">
        <v>47</v>
      </c>
      <c r="O190" s="147">
        <v>0</v>
      </c>
      <c r="P190" s="147">
        <f>O190*H190</f>
        <v>0</v>
      </c>
      <c r="Q190" s="147">
        <v>7.7000000000000002E-3</v>
      </c>
      <c r="R190" s="147">
        <f>Q190*H190</f>
        <v>3.0800000000000001E-2</v>
      </c>
      <c r="S190" s="147">
        <v>0</v>
      </c>
      <c r="T190" s="148">
        <f>S190*H190</f>
        <v>0</v>
      </c>
      <c r="AR190" s="149" t="s">
        <v>239</v>
      </c>
      <c r="AT190" s="149" t="s">
        <v>271</v>
      </c>
      <c r="AU190" s="149" t="s">
        <v>20</v>
      </c>
      <c r="AY190" s="18" t="s">
        <v>184</v>
      </c>
      <c r="BE190" s="150">
        <f>IF(N190="základní",J190,0)</f>
        <v>18326.12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8" t="s">
        <v>88</v>
      </c>
      <c r="BK190" s="150">
        <f>ROUND(I190*H190,2)</f>
        <v>18326.12</v>
      </c>
      <c r="BL190" s="18" t="s">
        <v>191</v>
      </c>
      <c r="BM190" s="149" t="s">
        <v>564</v>
      </c>
    </row>
    <row r="191" spans="2:65" s="12" customFormat="1" ht="11.25" x14ac:dyDescent="0.3">
      <c r="B191" s="155"/>
      <c r="D191" s="156" t="s">
        <v>195</v>
      </c>
      <c r="E191" s="157" t="s">
        <v>1</v>
      </c>
      <c r="F191" s="158" t="s">
        <v>565</v>
      </c>
      <c r="H191" s="159">
        <v>2</v>
      </c>
      <c r="I191" s="160"/>
      <c r="L191" s="155"/>
      <c r="M191" s="161"/>
      <c r="T191" s="162"/>
      <c r="AT191" s="157" t="s">
        <v>195</v>
      </c>
      <c r="AU191" s="157" t="s">
        <v>20</v>
      </c>
      <c r="AV191" s="12" t="s">
        <v>20</v>
      </c>
      <c r="AW191" s="12" t="s">
        <v>37</v>
      </c>
      <c r="AX191" s="12" t="s">
        <v>81</v>
      </c>
      <c r="AY191" s="157" t="s">
        <v>184</v>
      </c>
    </row>
    <row r="192" spans="2:65" s="12" customFormat="1" ht="11.25" x14ac:dyDescent="0.3">
      <c r="B192" s="155"/>
      <c r="D192" s="156" t="s">
        <v>195</v>
      </c>
      <c r="E192" s="157" t="s">
        <v>1</v>
      </c>
      <c r="F192" s="158" t="s">
        <v>566</v>
      </c>
      <c r="H192" s="159">
        <v>2</v>
      </c>
      <c r="I192" s="160"/>
      <c r="L192" s="155"/>
      <c r="M192" s="161"/>
      <c r="T192" s="162"/>
      <c r="AT192" s="157" t="s">
        <v>195</v>
      </c>
      <c r="AU192" s="157" t="s">
        <v>20</v>
      </c>
      <c r="AV192" s="12" t="s">
        <v>20</v>
      </c>
      <c r="AW192" s="12" t="s">
        <v>37</v>
      </c>
      <c r="AX192" s="12" t="s">
        <v>81</v>
      </c>
      <c r="AY192" s="157" t="s">
        <v>184</v>
      </c>
    </row>
    <row r="193" spans="2:65" s="13" customFormat="1" ht="11.25" x14ac:dyDescent="0.3">
      <c r="B193" s="163"/>
      <c r="D193" s="156" t="s">
        <v>195</v>
      </c>
      <c r="E193" s="164" t="s">
        <v>1</v>
      </c>
      <c r="F193" s="165" t="s">
        <v>230</v>
      </c>
      <c r="H193" s="166">
        <v>4</v>
      </c>
      <c r="I193" s="167"/>
      <c r="L193" s="163"/>
      <c r="M193" s="168"/>
      <c r="T193" s="169"/>
      <c r="AT193" s="164" t="s">
        <v>195</v>
      </c>
      <c r="AU193" s="164" t="s">
        <v>20</v>
      </c>
      <c r="AV193" s="13" t="s">
        <v>191</v>
      </c>
      <c r="AW193" s="13" t="s">
        <v>37</v>
      </c>
      <c r="AX193" s="13" t="s">
        <v>88</v>
      </c>
      <c r="AY193" s="164" t="s">
        <v>184</v>
      </c>
    </row>
    <row r="194" spans="2:65" s="1" customFormat="1" ht="16.5" customHeight="1" x14ac:dyDescent="0.3">
      <c r="B194" s="33"/>
      <c r="C194" s="138" t="s">
        <v>299</v>
      </c>
      <c r="D194" s="138" t="s">
        <v>186</v>
      </c>
      <c r="E194" s="139" t="s">
        <v>567</v>
      </c>
      <c r="F194" s="140" t="s">
        <v>568</v>
      </c>
      <c r="G194" s="141" t="s">
        <v>557</v>
      </c>
      <c r="H194" s="142">
        <v>3</v>
      </c>
      <c r="I194" s="143">
        <v>1908.97</v>
      </c>
      <c r="J194" s="144">
        <f>ROUND(I194*H194,2)</f>
        <v>5726.91</v>
      </c>
      <c r="K194" s="140" t="s">
        <v>190</v>
      </c>
      <c r="L194" s="33"/>
      <c r="M194" s="145" t="s">
        <v>1</v>
      </c>
      <c r="N194" s="146" t="s">
        <v>47</v>
      </c>
      <c r="O194" s="147">
        <v>0.54900000000000004</v>
      </c>
      <c r="P194" s="147">
        <f>O194*H194</f>
        <v>1.6470000000000002</v>
      </c>
      <c r="Q194" s="147">
        <v>0.11276</v>
      </c>
      <c r="R194" s="147">
        <f>Q194*H194</f>
        <v>0.33828000000000003</v>
      </c>
      <c r="S194" s="147">
        <v>0</v>
      </c>
      <c r="T194" s="148">
        <f>S194*H194</f>
        <v>0</v>
      </c>
      <c r="AR194" s="149" t="s">
        <v>191</v>
      </c>
      <c r="AT194" s="149" t="s">
        <v>186</v>
      </c>
      <c r="AU194" s="149" t="s">
        <v>20</v>
      </c>
      <c r="AY194" s="18" t="s">
        <v>184</v>
      </c>
      <c r="BE194" s="150">
        <f>IF(N194="základní",J194,0)</f>
        <v>5726.91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8" t="s">
        <v>88</v>
      </c>
      <c r="BK194" s="150">
        <f>ROUND(I194*H194,2)</f>
        <v>5726.91</v>
      </c>
      <c r="BL194" s="18" t="s">
        <v>191</v>
      </c>
      <c r="BM194" s="149" t="s">
        <v>569</v>
      </c>
    </row>
    <row r="195" spans="2:65" s="1" customFormat="1" x14ac:dyDescent="0.3">
      <c r="B195" s="33"/>
      <c r="D195" s="151" t="s">
        <v>193</v>
      </c>
      <c r="F195" s="152" t="s">
        <v>570</v>
      </c>
      <c r="I195" s="153"/>
      <c r="L195" s="33"/>
      <c r="M195" s="154"/>
      <c r="T195" s="57"/>
      <c r="AT195" s="18" t="s">
        <v>193</v>
      </c>
      <c r="AU195" s="18" t="s">
        <v>20</v>
      </c>
    </row>
    <row r="196" spans="2:65" s="12" customFormat="1" ht="11.25" x14ac:dyDescent="0.3">
      <c r="B196" s="155"/>
      <c r="D196" s="156" t="s">
        <v>195</v>
      </c>
      <c r="E196" s="157" t="s">
        <v>1</v>
      </c>
      <c r="F196" s="158" t="s">
        <v>571</v>
      </c>
      <c r="H196" s="159">
        <v>3</v>
      </c>
      <c r="I196" s="160"/>
      <c r="L196" s="155"/>
      <c r="M196" s="161"/>
      <c r="T196" s="162"/>
      <c r="AT196" s="157" t="s">
        <v>195</v>
      </c>
      <c r="AU196" s="157" t="s">
        <v>20</v>
      </c>
      <c r="AV196" s="12" t="s">
        <v>20</v>
      </c>
      <c r="AW196" s="12" t="s">
        <v>37</v>
      </c>
      <c r="AX196" s="12" t="s">
        <v>88</v>
      </c>
      <c r="AY196" s="157" t="s">
        <v>184</v>
      </c>
    </row>
    <row r="197" spans="2:65" s="1" customFormat="1" ht="16.5" customHeight="1" x14ac:dyDescent="0.3">
      <c r="B197" s="33"/>
      <c r="C197" s="172" t="s">
        <v>305</v>
      </c>
      <c r="D197" s="172" t="s">
        <v>271</v>
      </c>
      <c r="E197" s="173" t="s">
        <v>572</v>
      </c>
      <c r="F197" s="174" t="s">
        <v>573</v>
      </c>
      <c r="G197" s="175" t="s">
        <v>557</v>
      </c>
      <c r="H197" s="176">
        <v>3</v>
      </c>
      <c r="I197" s="177">
        <v>1374.46</v>
      </c>
      <c r="J197" s="178">
        <f>ROUND(I197*H197,2)</f>
        <v>4123.38</v>
      </c>
      <c r="K197" s="174" t="s">
        <v>190</v>
      </c>
      <c r="L197" s="179"/>
      <c r="M197" s="180" t="s">
        <v>1</v>
      </c>
      <c r="N197" s="181" t="s">
        <v>47</v>
      </c>
      <c r="O197" s="147">
        <v>0</v>
      </c>
      <c r="P197" s="147">
        <f>O197*H197</f>
        <v>0</v>
      </c>
      <c r="Q197" s="147">
        <v>6.4999999999999997E-3</v>
      </c>
      <c r="R197" s="147">
        <f>Q197*H197</f>
        <v>1.95E-2</v>
      </c>
      <c r="S197" s="147">
        <v>0</v>
      </c>
      <c r="T197" s="148">
        <f>S197*H197</f>
        <v>0</v>
      </c>
      <c r="AR197" s="149" t="s">
        <v>239</v>
      </c>
      <c r="AT197" s="149" t="s">
        <v>271</v>
      </c>
      <c r="AU197" s="149" t="s">
        <v>20</v>
      </c>
      <c r="AY197" s="18" t="s">
        <v>184</v>
      </c>
      <c r="BE197" s="150">
        <f>IF(N197="základní",J197,0)</f>
        <v>4123.38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8" t="s">
        <v>88</v>
      </c>
      <c r="BK197" s="150">
        <f>ROUND(I197*H197,2)</f>
        <v>4123.38</v>
      </c>
      <c r="BL197" s="18" t="s">
        <v>191</v>
      </c>
      <c r="BM197" s="149" t="s">
        <v>574</v>
      </c>
    </row>
    <row r="198" spans="2:65" s="1" customFormat="1" ht="16.5" customHeight="1" x14ac:dyDescent="0.3">
      <c r="B198" s="33"/>
      <c r="C198" s="172" t="s">
        <v>311</v>
      </c>
      <c r="D198" s="172" t="s">
        <v>271</v>
      </c>
      <c r="E198" s="173" t="s">
        <v>575</v>
      </c>
      <c r="F198" s="174" t="s">
        <v>576</v>
      </c>
      <c r="G198" s="175" t="s">
        <v>557</v>
      </c>
      <c r="H198" s="176">
        <v>3</v>
      </c>
      <c r="I198" s="177">
        <v>1527.18</v>
      </c>
      <c r="J198" s="178">
        <f>ROUND(I198*H198,2)</f>
        <v>4581.54</v>
      </c>
      <c r="K198" s="174" t="s">
        <v>190</v>
      </c>
      <c r="L198" s="179"/>
      <c r="M198" s="180" t="s">
        <v>1</v>
      </c>
      <c r="N198" s="181" t="s">
        <v>47</v>
      </c>
      <c r="O198" s="147">
        <v>0</v>
      </c>
      <c r="P198" s="147">
        <f>O198*H198</f>
        <v>0</v>
      </c>
      <c r="Q198" s="147">
        <v>3.3E-3</v>
      </c>
      <c r="R198" s="147">
        <f>Q198*H198</f>
        <v>9.8999999999999991E-3</v>
      </c>
      <c r="S198" s="147">
        <v>0</v>
      </c>
      <c r="T198" s="148">
        <f>S198*H198</f>
        <v>0</v>
      </c>
      <c r="AR198" s="149" t="s">
        <v>239</v>
      </c>
      <c r="AT198" s="149" t="s">
        <v>271</v>
      </c>
      <c r="AU198" s="149" t="s">
        <v>20</v>
      </c>
      <c r="AY198" s="18" t="s">
        <v>184</v>
      </c>
      <c r="BE198" s="150">
        <f>IF(N198="základní",J198,0)</f>
        <v>4581.54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8" t="s">
        <v>88</v>
      </c>
      <c r="BK198" s="150">
        <f>ROUND(I198*H198,2)</f>
        <v>4581.54</v>
      </c>
      <c r="BL198" s="18" t="s">
        <v>191</v>
      </c>
      <c r="BM198" s="149" t="s">
        <v>577</v>
      </c>
    </row>
    <row r="199" spans="2:65" s="1" customFormat="1" ht="16.5" customHeight="1" x14ac:dyDescent="0.3">
      <c r="B199" s="33"/>
      <c r="C199" s="138" t="s">
        <v>6</v>
      </c>
      <c r="D199" s="138" t="s">
        <v>186</v>
      </c>
      <c r="E199" s="139" t="s">
        <v>578</v>
      </c>
      <c r="F199" s="140" t="s">
        <v>579</v>
      </c>
      <c r="G199" s="141" t="s">
        <v>210</v>
      </c>
      <c r="H199" s="142">
        <v>24</v>
      </c>
      <c r="I199" s="143">
        <v>45.82</v>
      </c>
      <c r="J199" s="144">
        <f>ROUND(I199*H199,2)</f>
        <v>1099.68</v>
      </c>
      <c r="K199" s="140" t="s">
        <v>190</v>
      </c>
      <c r="L199" s="33"/>
      <c r="M199" s="145" t="s">
        <v>1</v>
      </c>
      <c r="N199" s="146" t="s">
        <v>47</v>
      </c>
      <c r="O199" s="147">
        <v>3.0000000000000001E-3</v>
      </c>
      <c r="P199" s="147">
        <f>O199*H199</f>
        <v>7.2000000000000008E-2</v>
      </c>
      <c r="Q199" s="147">
        <v>1E-4</v>
      </c>
      <c r="R199" s="147">
        <f>Q199*H199</f>
        <v>2.4000000000000002E-3</v>
      </c>
      <c r="S199" s="147">
        <v>0</v>
      </c>
      <c r="T199" s="148">
        <f>S199*H199</f>
        <v>0</v>
      </c>
      <c r="AR199" s="149" t="s">
        <v>191</v>
      </c>
      <c r="AT199" s="149" t="s">
        <v>186</v>
      </c>
      <c r="AU199" s="149" t="s">
        <v>20</v>
      </c>
      <c r="AY199" s="18" t="s">
        <v>184</v>
      </c>
      <c r="BE199" s="150">
        <f>IF(N199="základní",J199,0)</f>
        <v>1099.68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8" t="s">
        <v>88</v>
      </c>
      <c r="BK199" s="150">
        <f>ROUND(I199*H199,2)</f>
        <v>1099.68</v>
      </c>
      <c r="BL199" s="18" t="s">
        <v>191</v>
      </c>
      <c r="BM199" s="149" t="s">
        <v>580</v>
      </c>
    </row>
    <row r="200" spans="2:65" s="1" customFormat="1" x14ac:dyDescent="0.3">
      <c r="B200" s="33"/>
      <c r="D200" s="151" t="s">
        <v>193</v>
      </c>
      <c r="F200" s="152" t="s">
        <v>581</v>
      </c>
      <c r="I200" s="153"/>
      <c r="L200" s="33"/>
      <c r="M200" s="154"/>
      <c r="T200" s="57"/>
      <c r="AT200" s="18" t="s">
        <v>193</v>
      </c>
      <c r="AU200" s="18" t="s">
        <v>20</v>
      </c>
    </row>
    <row r="201" spans="2:65" s="12" customFormat="1" ht="11.25" x14ac:dyDescent="0.3">
      <c r="B201" s="155"/>
      <c r="D201" s="156" t="s">
        <v>195</v>
      </c>
      <c r="E201" s="157" t="s">
        <v>1</v>
      </c>
      <c r="F201" s="158" t="s">
        <v>582</v>
      </c>
      <c r="H201" s="159">
        <v>24</v>
      </c>
      <c r="I201" s="160"/>
      <c r="L201" s="155"/>
      <c r="M201" s="161"/>
      <c r="T201" s="162"/>
      <c r="AT201" s="157" t="s">
        <v>195</v>
      </c>
      <c r="AU201" s="157" t="s">
        <v>20</v>
      </c>
      <c r="AV201" s="12" t="s">
        <v>20</v>
      </c>
      <c r="AW201" s="12" t="s">
        <v>37</v>
      </c>
      <c r="AX201" s="12" t="s">
        <v>88</v>
      </c>
      <c r="AY201" s="157" t="s">
        <v>184</v>
      </c>
    </row>
    <row r="202" spans="2:65" s="1" customFormat="1" ht="16.5" customHeight="1" x14ac:dyDescent="0.3">
      <c r="B202" s="33"/>
      <c r="C202" s="138" t="s">
        <v>322</v>
      </c>
      <c r="D202" s="138" t="s">
        <v>186</v>
      </c>
      <c r="E202" s="139" t="s">
        <v>583</v>
      </c>
      <c r="F202" s="140" t="s">
        <v>584</v>
      </c>
      <c r="G202" s="141" t="s">
        <v>189</v>
      </c>
      <c r="H202" s="142">
        <v>1.08</v>
      </c>
      <c r="I202" s="143">
        <v>916.31</v>
      </c>
      <c r="J202" s="144">
        <f>ROUND(I202*H202,2)</f>
        <v>989.61</v>
      </c>
      <c r="K202" s="140" t="s">
        <v>190</v>
      </c>
      <c r="L202" s="33"/>
      <c r="M202" s="145" t="s">
        <v>1</v>
      </c>
      <c r="N202" s="146" t="s">
        <v>47</v>
      </c>
      <c r="O202" s="147">
        <v>0.11899999999999999</v>
      </c>
      <c r="P202" s="147">
        <f>O202*H202</f>
        <v>0.12852</v>
      </c>
      <c r="Q202" s="147">
        <v>1.6000000000000001E-3</v>
      </c>
      <c r="R202" s="147">
        <f>Q202*H202</f>
        <v>1.7280000000000002E-3</v>
      </c>
      <c r="S202" s="147">
        <v>0</v>
      </c>
      <c r="T202" s="148">
        <f>S202*H202</f>
        <v>0</v>
      </c>
      <c r="AR202" s="149" t="s">
        <v>191</v>
      </c>
      <c r="AT202" s="149" t="s">
        <v>186</v>
      </c>
      <c r="AU202" s="149" t="s">
        <v>20</v>
      </c>
      <c r="AY202" s="18" t="s">
        <v>184</v>
      </c>
      <c r="BE202" s="150">
        <f>IF(N202="základní",J202,0)</f>
        <v>989.61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8" t="s">
        <v>88</v>
      </c>
      <c r="BK202" s="150">
        <f>ROUND(I202*H202,2)</f>
        <v>989.61</v>
      </c>
      <c r="BL202" s="18" t="s">
        <v>191</v>
      </c>
      <c r="BM202" s="149" t="s">
        <v>585</v>
      </c>
    </row>
    <row r="203" spans="2:65" s="1" customFormat="1" x14ac:dyDescent="0.3">
      <c r="B203" s="33"/>
      <c r="D203" s="151" t="s">
        <v>193</v>
      </c>
      <c r="F203" s="152" t="s">
        <v>586</v>
      </c>
      <c r="I203" s="153"/>
      <c r="L203" s="33"/>
      <c r="M203" s="154"/>
      <c r="T203" s="57"/>
      <c r="AT203" s="18" t="s">
        <v>193</v>
      </c>
      <c r="AU203" s="18" t="s">
        <v>20</v>
      </c>
    </row>
    <row r="204" spans="2:65" s="12" customFormat="1" ht="11.25" x14ac:dyDescent="0.3">
      <c r="B204" s="155"/>
      <c r="D204" s="156" t="s">
        <v>195</v>
      </c>
      <c r="E204" s="157" t="s">
        <v>1</v>
      </c>
      <c r="F204" s="158" t="s">
        <v>587</v>
      </c>
      <c r="H204" s="159">
        <v>1.08</v>
      </c>
      <c r="I204" s="160"/>
      <c r="L204" s="155"/>
      <c r="M204" s="161"/>
      <c r="T204" s="162"/>
      <c r="AT204" s="157" t="s">
        <v>195</v>
      </c>
      <c r="AU204" s="157" t="s">
        <v>20</v>
      </c>
      <c r="AV204" s="12" t="s">
        <v>20</v>
      </c>
      <c r="AW204" s="12" t="s">
        <v>37</v>
      </c>
      <c r="AX204" s="12" t="s">
        <v>88</v>
      </c>
      <c r="AY204" s="157" t="s">
        <v>184</v>
      </c>
    </row>
    <row r="205" spans="2:65" s="1" customFormat="1" ht="16.5" customHeight="1" x14ac:dyDescent="0.3">
      <c r="B205" s="33"/>
      <c r="C205" s="138" t="s">
        <v>328</v>
      </c>
      <c r="D205" s="138" t="s">
        <v>186</v>
      </c>
      <c r="E205" s="139" t="s">
        <v>463</v>
      </c>
      <c r="F205" s="140" t="s">
        <v>464</v>
      </c>
      <c r="G205" s="141" t="s">
        <v>210</v>
      </c>
      <c r="H205" s="142">
        <v>24</v>
      </c>
      <c r="I205" s="143">
        <v>15.27</v>
      </c>
      <c r="J205" s="144">
        <f>ROUND(I205*H205,2)</f>
        <v>366.48</v>
      </c>
      <c r="K205" s="140" t="s">
        <v>190</v>
      </c>
      <c r="L205" s="33"/>
      <c r="M205" s="145" t="s">
        <v>1</v>
      </c>
      <c r="N205" s="146" t="s">
        <v>47</v>
      </c>
      <c r="O205" s="147">
        <v>1.6E-2</v>
      </c>
      <c r="P205" s="147">
        <f>O205*H205</f>
        <v>0.38400000000000001</v>
      </c>
      <c r="Q205" s="147">
        <v>0</v>
      </c>
      <c r="R205" s="147">
        <f>Q205*H205</f>
        <v>0</v>
      </c>
      <c r="S205" s="147">
        <v>0</v>
      </c>
      <c r="T205" s="148">
        <f>S205*H205</f>
        <v>0</v>
      </c>
      <c r="AR205" s="149" t="s">
        <v>191</v>
      </c>
      <c r="AT205" s="149" t="s">
        <v>186</v>
      </c>
      <c r="AU205" s="149" t="s">
        <v>20</v>
      </c>
      <c r="AY205" s="18" t="s">
        <v>184</v>
      </c>
      <c r="BE205" s="150">
        <f>IF(N205="základní",J205,0)</f>
        <v>366.48</v>
      </c>
      <c r="BF205" s="150">
        <f>IF(N205="snížená",J205,0)</f>
        <v>0</v>
      </c>
      <c r="BG205" s="150">
        <f>IF(N205="zákl. přenesená",J205,0)</f>
        <v>0</v>
      </c>
      <c r="BH205" s="150">
        <f>IF(N205="sníž. přenesená",J205,0)</f>
        <v>0</v>
      </c>
      <c r="BI205" s="150">
        <f>IF(N205="nulová",J205,0)</f>
        <v>0</v>
      </c>
      <c r="BJ205" s="18" t="s">
        <v>88</v>
      </c>
      <c r="BK205" s="150">
        <f>ROUND(I205*H205,2)</f>
        <v>366.48</v>
      </c>
      <c r="BL205" s="18" t="s">
        <v>191</v>
      </c>
      <c r="BM205" s="149" t="s">
        <v>588</v>
      </c>
    </row>
    <row r="206" spans="2:65" s="1" customFormat="1" x14ac:dyDescent="0.3">
      <c r="B206" s="33"/>
      <c r="D206" s="151" t="s">
        <v>193</v>
      </c>
      <c r="F206" s="152" t="s">
        <v>466</v>
      </c>
      <c r="I206" s="153"/>
      <c r="L206" s="33"/>
      <c r="M206" s="154"/>
      <c r="T206" s="57"/>
      <c r="AT206" s="18" t="s">
        <v>193</v>
      </c>
      <c r="AU206" s="18" t="s">
        <v>20</v>
      </c>
    </row>
    <row r="207" spans="2:65" s="1" customFormat="1" ht="16.5" customHeight="1" x14ac:dyDescent="0.3">
      <c r="B207" s="33"/>
      <c r="C207" s="138" t="s">
        <v>334</v>
      </c>
      <c r="D207" s="138" t="s">
        <v>186</v>
      </c>
      <c r="E207" s="139" t="s">
        <v>589</v>
      </c>
      <c r="F207" s="140" t="s">
        <v>590</v>
      </c>
      <c r="G207" s="141" t="s">
        <v>189</v>
      </c>
      <c r="H207" s="142">
        <v>1.08</v>
      </c>
      <c r="I207" s="143">
        <v>152.77000000000001</v>
      </c>
      <c r="J207" s="144">
        <f>ROUND(I207*H207,2)</f>
        <v>164.99</v>
      </c>
      <c r="K207" s="140" t="s">
        <v>190</v>
      </c>
      <c r="L207" s="33"/>
      <c r="M207" s="145" t="s">
        <v>1</v>
      </c>
      <c r="N207" s="146" t="s">
        <v>47</v>
      </c>
      <c r="O207" s="147">
        <v>8.3000000000000004E-2</v>
      </c>
      <c r="P207" s="147">
        <f>O207*H207</f>
        <v>8.9640000000000011E-2</v>
      </c>
      <c r="Q207" s="147">
        <v>1.0000000000000001E-5</v>
      </c>
      <c r="R207" s="147">
        <f>Q207*H207</f>
        <v>1.0800000000000002E-5</v>
      </c>
      <c r="S207" s="147">
        <v>0</v>
      </c>
      <c r="T207" s="148">
        <f>S207*H207</f>
        <v>0</v>
      </c>
      <c r="AR207" s="149" t="s">
        <v>191</v>
      </c>
      <c r="AT207" s="149" t="s">
        <v>186</v>
      </c>
      <c r="AU207" s="149" t="s">
        <v>20</v>
      </c>
      <c r="AY207" s="18" t="s">
        <v>184</v>
      </c>
      <c r="BE207" s="150">
        <f>IF(N207="základní",J207,0)</f>
        <v>164.99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8" t="s">
        <v>88</v>
      </c>
      <c r="BK207" s="150">
        <f>ROUND(I207*H207,2)</f>
        <v>164.99</v>
      </c>
      <c r="BL207" s="18" t="s">
        <v>191</v>
      </c>
      <c r="BM207" s="149" t="s">
        <v>591</v>
      </c>
    </row>
    <row r="208" spans="2:65" s="1" customFormat="1" x14ac:dyDescent="0.3">
      <c r="B208" s="33"/>
      <c r="D208" s="151" t="s">
        <v>193</v>
      </c>
      <c r="F208" s="152" t="s">
        <v>592</v>
      </c>
      <c r="I208" s="153"/>
      <c r="L208" s="33"/>
      <c r="M208" s="154"/>
      <c r="T208" s="57"/>
      <c r="AT208" s="18" t="s">
        <v>193</v>
      </c>
      <c r="AU208" s="18" t="s">
        <v>20</v>
      </c>
    </row>
    <row r="209" spans="2:65" s="1" customFormat="1" ht="16.5" customHeight="1" x14ac:dyDescent="0.3">
      <c r="B209" s="33"/>
      <c r="C209" s="138" t="s">
        <v>340</v>
      </c>
      <c r="D209" s="138" t="s">
        <v>186</v>
      </c>
      <c r="E209" s="139" t="s">
        <v>306</v>
      </c>
      <c r="F209" s="140" t="s">
        <v>307</v>
      </c>
      <c r="G209" s="141" t="s">
        <v>210</v>
      </c>
      <c r="H209" s="142">
        <v>543.88</v>
      </c>
      <c r="I209" s="143">
        <v>414.33</v>
      </c>
      <c r="J209" s="144">
        <f>ROUND(I209*H209,2)</f>
        <v>225345.8</v>
      </c>
      <c r="K209" s="140" t="s">
        <v>190</v>
      </c>
      <c r="L209" s="33"/>
      <c r="M209" s="145" t="s">
        <v>1</v>
      </c>
      <c r="N209" s="146" t="s">
        <v>47</v>
      </c>
      <c r="O209" s="147">
        <v>0.26800000000000002</v>
      </c>
      <c r="P209" s="147">
        <f>O209*H209</f>
        <v>145.75984</v>
      </c>
      <c r="Q209" s="147">
        <v>0.15540000000000001</v>
      </c>
      <c r="R209" s="147">
        <f>Q209*H209</f>
        <v>84.518951999999999</v>
      </c>
      <c r="S209" s="147">
        <v>0</v>
      </c>
      <c r="T209" s="148">
        <f>S209*H209</f>
        <v>0</v>
      </c>
      <c r="AR209" s="149" t="s">
        <v>191</v>
      </c>
      <c r="AT209" s="149" t="s">
        <v>186</v>
      </c>
      <c r="AU209" s="149" t="s">
        <v>20</v>
      </c>
      <c r="AY209" s="18" t="s">
        <v>184</v>
      </c>
      <c r="BE209" s="150">
        <f>IF(N209="základní",J209,0)</f>
        <v>225345.8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8" t="s">
        <v>88</v>
      </c>
      <c r="BK209" s="150">
        <f>ROUND(I209*H209,2)</f>
        <v>225345.8</v>
      </c>
      <c r="BL209" s="18" t="s">
        <v>191</v>
      </c>
      <c r="BM209" s="149" t="s">
        <v>593</v>
      </c>
    </row>
    <row r="210" spans="2:65" s="1" customFormat="1" x14ac:dyDescent="0.3">
      <c r="B210" s="33"/>
      <c r="D210" s="151" t="s">
        <v>193</v>
      </c>
      <c r="F210" s="152" t="s">
        <v>309</v>
      </c>
      <c r="I210" s="153"/>
      <c r="L210" s="33"/>
      <c r="M210" s="154"/>
      <c r="T210" s="57"/>
      <c r="AT210" s="18" t="s">
        <v>193</v>
      </c>
      <c r="AU210" s="18" t="s">
        <v>20</v>
      </c>
    </row>
    <row r="211" spans="2:65" s="12" customFormat="1" ht="11.25" x14ac:dyDescent="0.3">
      <c r="B211" s="155"/>
      <c r="D211" s="156" t="s">
        <v>195</v>
      </c>
      <c r="E211" s="157" t="s">
        <v>1</v>
      </c>
      <c r="F211" s="158" t="s">
        <v>594</v>
      </c>
      <c r="H211" s="159">
        <v>543.88</v>
      </c>
      <c r="I211" s="160"/>
      <c r="L211" s="155"/>
      <c r="M211" s="161"/>
      <c r="T211" s="162"/>
      <c r="AT211" s="157" t="s">
        <v>195</v>
      </c>
      <c r="AU211" s="157" t="s">
        <v>20</v>
      </c>
      <c r="AV211" s="12" t="s">
        <v>20</v>
      </c>
      <c r="AW211" s="12" t="s">
        <v>37</v>
      </c>
      <c r="AX211" s="12" t="s">
        <v>88</v>
      </c>
      <c r="AY211" s="157" t="s">
        <v>184</v>
      </c>
    </row>
    <row r="212" spans="2:65" s="1" customFormat="1" ht="16.5" customHeight="1" x14ac:dyDescent="0.3">
      <c r="B212" s="33"/>
      <c r="C212" s="172" t="s">
        <v>346</v>
      </c>
      <c r="D212" s="172" t="s">
        <v>271</v>
      </c>
      <c r="E212" s="173" t="s">
        <v>312</v>
      </c>
      <c r="F212" s="174" t="s">
        <v>313</v>
      </c>
      <c r="G212" s="175" t="s">
        <v>210</v>
      </c>
      <c r="H212" s="176">
        <v>238.78200000000001</v>
      </c>
      <c r="I212" s="177">
        <v>182.84</v>
      </c>
      <c r="J212" s="178">
        <f>ROUND(I212*H212,2)</f>
        <v>43658.9</v>
      </c>
      <c r="K212" s="174" t="s">
        <v>190</v>
      </c>
      <c r="L212" s="179"/>
      <c r="M212" s="180" t="s">
        <v>1</v>
      </c>
      <c r="N212" s="181" t="s">
        <v>47</v>
      </c>
      <c r="O212" s="147">
        <v>0</v>
      </c>
      <c r="P212" s="147">
        <f>O212*H212</f>
        <v>0</v>
      </c>
      <c r="Q212" s="147">
        <v>0.08</v>
      </c>
      <c r="R212" s="147">
        <f>Q212*H212</f>
        <v>19.10256</v>
      </c>
      <c r="S212" s="147">
        <v>0</v>
      </c>
      <c r="T212" s="148">
        <f>S212*H212</f>
        <v>0</v>
      </c>
      <c r="AR212" s="149" t="s">
        <v>239</v>
      </c>
      <c r="AT212" s="149" t="s">
        <v>271</v>
      </c>
      <c r="AU212" s="149" t="s">
        <v>20</v>
      </c>
      <c r="AY212" s="18" t="s">
        <v>184</v>
      </c>
      <c r="BE212" s="150">
        <f>IF(N212="základní",J212,0)</f>
        <v>43658.9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8" t="s">
        <v>88</v>
      </c>
      <c r="BK212" s="150">
        <f>ROUND(I212*H212,2)</f>
        <v>43658.9</v>
      </c>
      <c r="BL212" s="18" t="s">
        <v>191</v>
      </c>
      <c r="BM212" s="149" t="s">
        <v>595</v>
      </c>
    </row>
    <row r="213" spans="2:65" s="12" customFormat="1" ht="11.25" x14ac:dyDescent="0.3">
      <c r="B213" s="155"/>
      <c r="D213" s="156" t="s">
        <v>195</v>
      </c>
      <c r="E213" s="157" t="s">
        <v>1</v>
      </c>
      <c r="F213" s="158" t="s">
        <v>596</v>
      </c>
      <c r="H213" s="159">
        <v>92.94</v>
      </c>
      <c r="I213" s="160"/>
      <c r="L213" s="155"/>
      <c r="M213" s="161"/>
      <c r="T213" s="162"/>
      <c r="AT213" s="157" t="s">
        <v>195</v>
      </c>
      <c r="AU213" s="157" t="s">
        <v>20</v>
      </c>
      <c r="AV213" s="12" t="s">
        <v>20</v>
      </c>
      <c r="AW213" s="12" t="s">
        <v>37</v>
      </c>
      <c r="AX213" s="12" t="s">
        <v>81</v>
      </c>
      <c r="AY213" s="157" t="s">
        <v>184</v>
      </c>
    </row>
    <row r="214" spans="2:65" s="12" customFormat="1" ht="11.25" x14ac:dyDescent="0.3">
      <c r="B214" s="155"/>
      <c r="D214" s="156" t="s">
        <v>195</v>
      </c>
      <c r="E214" s="157" t="s">
        <v>1</v>
      </c>
      <c r="F214" s="158" t="s">
        <v>597</v>
      </c>
      <c r="H214" s="159">
        <v>141.16</v>
      </c>
      <c r="I214" s="160"/>
      <c r="L214" s="155"/>
      <c r="M214" s="161"/>
      <c r="T214" s="162"/>
      <c r="AT214" s="157" t="s">
        <v>195</v>
      </c>
      <c r="AU214" s="157" t="s">
        <v>20</v>
      </c>
      <c r="AV214" s="12" t="s">
        <v>20</v>
      </c>
      <c r="AW214" s="12" t="s">
        <v>37</v>
      </c>
      <c r="AX214" s="12" t="s">
        <v>81</v>
      </c>
      <c r="AY214" s="157" t="s">
        <v>184</v>
      </c>
    </row>
    <row r="215" spans="2:65" s="13" customFormat="1" ht="11.25" x14ac:dyDescent="0.3">
      <c r="B215" s="163"/>
      <c r="D215" s="156" t="s">
        <v>195</v>
      </c>
      <c r="E215" s="164" t="s">
        <v>1</v>
      </c>
      <c r="F215" s="165" t="s">
        <v>230</v>
      </c>
      <c r="H215" s="166">
        <v>234.1</v>
      </c>
      <c r="I215" s="167"/>
      <c r="L215" s="163"/>
      <c r="M215" s="168"/>
      <c r="T215" s="169"/>
      <c r="AT215" s="164" t="s">
        <v>195</v>
      </c>
      <c r="AU215" s="164" t="s">
        <v>20</v>
      </c>
      <c r="AV215" s="13" t="s">
        <v>191</v>
      </c>
      <c r="AW215" s="13" t="s">
        <v>37</v>
      </c>
      <c r="AX215" s="13" t="s">
        <v>81</v>
      </c>
      <c r="AY215" s="164" t="s">
        <v>184</v>
      </c>
    </row>
    <row r="216" spans="2:65" s="12" customFormat="1" ht="11.25" x14ac:dyDescent="0.3">
      <c r="B216" s="155"/>
      <c r="D216" s="156" t="s">
        <v>195</v>
      </c>
      <c r="E216" s="157" t="s">
        <v>1</v>
      </c>
      <c r="F216" s="158" t="s">
        <v>598</v>
      </c>
      <c r="H216" s="159">
        <v>238.78200000000001</v>
      </c>
      <c r="I216" s="160"/>
      <c r="L216" s="155"/>
      <c r="M216" s="161"/>
      <c r="T216" s="162"/>
      <c r="AT216" s="157" t="s">
        <v>195</v>
      </c>
      <c r="AU216" s="157" t="s">
        <v>20</v>
      </c>
      <c r="AV216" s="12" t="s">
        <v>20</v>
      </c>
      <c r="AW216" s="12" t="s">
        <v>37</v>
      </c>
      <c r="AX216" s="12" t="s">
        <v>88</v>
      </c>
      <c r="AY216" s="157" t="s">
        <v>184</v>
      </c>
    </row>
    <row r="217" spans="2:65" s="1" customFormat="1" ht="16.5" customHeight="1" x14ac:dyDescent="0.3">
      <c r="B217" s="33"/>
      <c r="C217" s="172" t="s">
        <v>353</v>
      </c>
      <c r="D217" s="172" t="s">
        <v>271</v>
      </c>
      <c r="E217" s="173" t="s">
        <v>317</v>
      </c>
      <c r="F217" s="174" t="s">
        <v>318</v>
      </c>
      <c r="G217" s="175" t="s">
        <v>210</v>
      </c>
      <c r="H217" s="176">
        <v>31.722000000000001</v>
      </c>
      <c r="I217" s="177">
        <v>228.36</v>
      </c>
      <c r="J217" s="178">
        <f>ROUND(I217*H217,2)</f>
        <v>7244.04</v>
      </c>
      <c r="K217" s="174" t="s">
        <v>190</v>
      </c>
      <c r="L217" s="179"/>
      <c r="M217" s="180" t="s">
        <v>1</v>
      </c>
      <c r="N217" s="181" t="s">
        <v>47</v>
      </c>
      <c r="O217" s="147">
        <v>0</v>
      </c>
      <c r="P217" s="147">
        <f>O217*H217</f>
        <v>0</v>
      </c>
      <c r="Q217" s="147">
        <v>0.04</v>
      </c>
      <c r="R217" s="147">
        <f>Q217*H217</f>
        <v>1.26888</v>
      </c>
      <c r="S217" s="147">
        <v>0</v>
      </c>
      <c r="T217" s="148">
        <f>S217*H217</f>
        <v>0</v>
      </c>
      <c r="AR217" s="149" t="s">
        <v>239</v>
      </c>
      <c r="AT217" s="149" t="s">
        <v>271</v>
      </c>
      <c r="AU217" s="149" t="s">
        <v>20</v>
      </c>
      <c r="AY217" s="18" t="s">
        <v>184</v>
      </c>
      <c r="BE217" s="150">
        <f>IF(N217="základní",J217,0)</f>
        <v>7244.04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8" t="s">
        <v>88</v>
      </c>
      <c r="BK217" s="150">
        <f>ROUND(I217*H217,2)</f>
        <v>7244.04</v>
      </c>
      <c r="BL217" s="18" t="s">
        <v>191</v>
      </c>
      <c r="BM217" s="149" t="s">
        <v>599</v>
      </c>
    </row>
    <row r="218" spans="2:65" s="12" customFormat="1" ht="11.25" x14ac:dyDescent="0.3">
      <c r="B218" s="155"/>
      <c r="D218" s="156" t="s">
        <v>195</v>
      </c>
      <c r="E218" s="157" t="s">
        <v>1</v>
      </c>
      <c r="F218" s="158" t="s">
        <v>600</v>
      </c>
      <c r="H218" s="159">
        <v>7.33</v>
      </c>
      <c r="I218" s="160"/>
      <c r="L218" s="155"/>
      <c r="M218" s="161"/>
      <c r="T218" s="162"/>
      <c r="AT218" s="157" t="s">
        <v>195</v>
      </c>
      <c r="AU218" s="157" t="s">
        <v>20</v>
      </c>
      <c r="AV218" s="12" t="s">
        <v>20</v>
      </c>
      <c r="AW218" s="12" t="s">
        <v>37</v>
      </c>
      <c r="AX218" s="12" t="s">
        <v>81</v>
      </c>
      <c r="AY218" s="157" t="s">
        <v>184</v>
      </c>
    </row>
    <row r="219" spans="2:65" s="12" customFormat="1" ht="11.25" x14ac:dyDescent="0.3">
      <c r="B219" s="155"/>
      <c r="D219" s="156" t="s">
        <v>195</v>
      </c>
      <c r="E219" s="157" t="s">
        <v>1</v>
      </c>
      <c r="F219" s="158" t="s">
        <v>601</v>
      </c>
      <c r="H219" s="159">
        <v>2.44</v>
      </c>
      <c r="I219" s="160"/>
      <c r="L219" s="155"/>
      <c r="M219" s="161"/>
      <c r="T219" s="162"/>
      <c r="AT219" s="157" t="s">
        <v>195</v>
      </c>
      <c r="AU219" s="157" t="s">
        <v>20</v>
      </c>
      <c r="AV219" s="12" t="s">
        <v>20</v>
      </c>
      <c r="AW219" s="12" t="s">
        <v>37</v>
      </c>
      <c r="AX219" s="12" t="s">
        <v>81</v>
      </c>
      <c r="AY219" s="157" t="s">
        <v>184</v>
      </c>
    </row>
    <row r="220" spans="2:65" s="12" customFormat="1" ht="11.25" x14ac:dyDescent="0.3">
      <c r="B220" s="155"/>
      <c r="D220" s="156" t="s">
        <v>195</v>
      </c>
      <c r="E220" s="157" t="s">
        <v>1</v>
      </c>
      <c r="F220" s="158" t="s">
        <v>602</v>
      </c>
      <c r="H220" s="159">
        <v>12.64</v>
      </c>
      <c r="I220" s="160"/>
      <c r="L220" s="155"/>
      <c r="M220" s="161"/>
      <c r="T220" s="162"/>
      <c r="AT220" s="157" t="s">
        <v>195</v>
      </c>
      <c r="AU220" s="157" t="s">
        <v>20</v>
      </c>
      <c r="AV220" s="12" t="s">
        <v>20</v>
      </c>
      <c r="AW220" s="12" t="s">
        <v>37</v>
      </c>
      <c r="AX220" s="12" t="s">
        <v>81</v>
      </c>
      <c r="AY220" s="157" t="s">
        <v>184</v>
      </c>
    </row>
    <row r="221" spans="2:65" s="12" customFormat="1" ht="11.25" x14ac:dyDescent="0.3">
      <c r="B221" s="155"/>
      <c r="D221" s="156" t="s">
        <v>195</v>
      </c>
      <c r="E221" s="157" t="s">
        <v>1</v>
      </c>
      <c r="F221" s="158" t="s">
        <v>603</v>
      </c>
      <c r="H221" s="159">
        <v>8.69</v>
      </c>
      <c r="I221" s="160"/>
      <c r="L221" s="155"/>
      <c r="M221" s="161"/>
      <c r="T221" s="162"/>
      <c r="AT221" s="157" t="s">
        <v>195</v>
      </c>
      <c r="AU221" s="157" t="s">
        <v>20</v>
      </c>
      <c r="AV221" s="12" t="s">
        <v>20</v>
      </c>
      <c r="AW221" s="12" t="s">
        <v>37</v>
      </c>
      <c r="AX221" s="12" t="s">
        <v>81</v>
      </c>
      <c r="AY221" s="157" t="s">
        <v>184</v>
      </c>
    </row>
    <row r="222" spans="2:65" s="13" customFormat="1" ht="11.25" x14ac:dyDescent="0.3">
      <c r="B222" s="163"/>
      <c r="D222" s="156" t="s">
        <v>195</v>
      </c>
      <c r="E222" s="164" t="s">
        <v>1</v>
      </c>
      <c r="F222" s="165" t="s">
        <v>230</v>
      </c>
      <c r="H222" s="166">
        <v>31.1</v>
      </c>
      <c r="I222" s="167"/>
      <c r="L222" s="163"/>
      <c r="M222" s="168"/>
      <c r="T222" s="169"/>
      <c r="AT222" s="164" t="s">
        <v>195</v>
      </c>
      <c r="AU222" s="164" t="s">
        <v>20</v>
      </c>
      <c r="AV222" s="13" t="s">
        <v>191</v>
      </c>
      <c r="AW222" s="13" t="s">
        <v>37</v>
      </c>
      <c r="AX222" s="13" t="s">
        <v>81</v>
      </c>
      <c r="AY222" s="164" t="s">
        <v>184</v>
      </c>
    </row>
    <row r="223" spans="2:65" s="12" customFormat="1" ht="11.25" x14ac:dyDescent="0.3">
      <c r="B223" s="155"/>
      <c r="D223" s="156" t="s">
        <v>195</v>
      </c>
      <c r="E223" s="157" t="s">
        <v>1</v>
      </c>
      <c r="F223" s="158" t="s">
        <v>604</v>
      </c>
      <c r="H223" s="159">
        <v>31.722000000000001</v>
      </c>
      <c r="I223" s="160"/>
      <c r="L223" s="155"/>
      <c r="M223" s="161"/>
      <c r="T223" s="162"/>
      <c r="AT223" s="157" t="s">
        <v>195</v>
      </c>
      <c r="AU223" s="157" t="s">
        <v>20</v>
      </c>
      <c r="AV223" s="12" t="s">
        <v>20</v>
      </c>
      <c r="AW223" s="12" t="s">
        <v>37</v>
      </c>
      <c r="AX223" s="12" t="s">
        <v>88</v>
      </c>
      <c r="AY223" s="157" t="s">
        <v>184</v>
      </c>
    </row>
    <row r="224" spans="2:65" s="1" customFormat="1" ht="16.5" customHeight="1" x14ac:dyDescent="0.3">
      <c r="B224" s="33"/>
      <c r="C224" s="172" t="s">
        <v>360</v>
      </c>
      <c r="D224" s="172" t="s">
        <v>271</v>
      </c>
      <c r="E224" s="173" t="s">
        <v>323</v>
      </c>
      <c r="F224" s="174" t="s">
        <v>324</v>
      </c>
      <c r="G224" s="175" t="s">
        <v>210</v>
      </c>
      <c r="H224" s="176">
        <v>227.13399999999999</v>
      </c>
      <c r="I224" s="177">
        <v>143.6</v>
      </c>
      <c r="J224" s="178">
        <f>ROUND(I224*H224,2)</f>
        <v>32616.44</v>
      </c>
      <c r="K224" s="174" t="s">
        <v>190</v>
      </c>
      <c r="L224" s="179"/>
      <c r="M224" s="180" t="s">
        <v>1</v>
      </c>
      <c r="N224" s="181" t="s">
        <v>47</v>
      </c>
      <c r="O224" s="147">
        <v>0</v>
      </c>
      <c r="P224" s="147">
        <f>O224*H224</f>
        <v>0</v>
      </c>
      <c r="Q224" s="147">
        <v>4.8300000000000003E-2</v>
      </c>
      <c r="R224" s="147">
        <f>Q224*H224</f>
        <v>10.970572199999999</v>
      </c>
      <c r="S224" s="147">
        <v>0</v>
      </c>
      <c r="T224" s="148">
        <f>S224*H224</f>
        <v>0</v>
      </c>
      <c r="AR224" s="149" t="s">
        <v>239</v>
      </c>
      <c r="AT224" s="149" t="s">
        <v>271</v>
      </c>
      <c r="AU224" s="149" t="s">
        <v>20</v>
      </c>
      <c r="AY224" s="18" t="s">
        <v>184</v>
      </c>
      <c r="BE224" s="150">
        <f>IF(N224="základní",J224,0)</f>
        <v>32616.44</v>
      </c>
      <c r="BF224" s="150">
        <f>IF(N224="snížená",J224,0)</f>
        <v>0</v>
      </c>
      <c r="BG224" s="150">
        <f>IF(N224="zákl. přenesená",J224,0)</f>
        <v>0</v>
      </c>
      <c r="BH224" s="150">
        <f>IF(N224="sníž. přenesená",J224,0)</f>
        <v>0</v>
      </c>
      <c r="BI224" s="150">
        <f>IF(N224="nulová",J224,0)</f>
        <v>0</v>
      </c>
      <c r="BJ224" s="18" t="s">
        <v>88</v>
      </c>
      <c r="BK224" s="150">
        <f>ROUND(I224*H224,2)</f>
        <v>32616.44</v>
      </c>
      <c r="BL224" s="18" t="s">
        <v>191</v>
      </c>
      <c r="BM224" s="149" t="s">
        <v>605</v>
      </c>
    </row>
    <row r="225" spans="2:65" s="12" customFormat="1" ht="33.75" x14ac:dyDescent="0.3">
      <c r="B225" s="155"/>
      <c r="D225" s="156" t="s">
        <v>195</v>
      </c>
      <c r="E225" s="157" t="s">
        <v>1</v>
      </c>
      <c r="F225" s="158" t="s">
        <v>606</v>
      </c>
      <c r="H225" s="159">
        <v>160.28</v>
      </c>
      <c r="I225" s="160"/>
      <c r="L225" s="155"/>
      <c r="M225" s="161"/>
      <c r="T225" s="162"/>
      <c r="AT225" s="157" t="s">
        <v>195</v>
      </c>
      <c r="AU225" s="157" t="s">
        <v>20</v>
      </c>
      <c r="AV225" s="12" t="s">
        <v>20</v>
      </c>
      <c r="AW225" s="12" t="s">
        <v>37</v>
      </c>
      <c r="AX225" s="12" t="s">
        <v>81</v>
      </c>
      <c r="AY225" s="157" t="s">
        <v>184</v>
      </c>
    </row>
    <row r="226" spans="2:65" s="12" customFormat="1" ht="11.25" x14ac:dyDescent="0.3">
      <c r="B226" s="155"/>
      <c r="D226" s="156" t="s">
        <v>195</v>
      </c>
      <c r="E226" s="157" t="s">
        <v>1</v>
      </c>
      <c r="F226" s="158" t="s">
        <v>607</v>
      </c>
      <c r="H226" s="159">
        <v>62.4</v>
      </c>
      <c r="I226" s="160"/>
      <c r="L226" s="155"/>
      <c r="M226" s="161"/>
      <c r="T226" s="162"/>
      <c r="AT226" s="157" t="s">
        <v>195</v>
      </c>
      <c r="AU226" s="157" t="s">
        <v>20</v>
      </c>
      <c r="AV226" s="12" t="s">
        <v>20</v>
      </c>
      <c r="AW226" s="12" t="s">
        <v>37</v>
      </c>
      <c r="AX226" s="12" t="s">
        <v>81</v>
      </c>
      <c r="AY226" s="157" t="s">
        <v>184</v>
      </c>
    </row>
    <row r="227" spans="2:65" s="13" customFormat="1" ht="11.25" x14ac:dyDescent="0.3">
      <c r="B227" s="163"/>
      <c r="D227" s="156" t="s">
        <v>195</v>
      </c>
      <c r="E227" s="164" t="s">
        <v>1</v>
      </c>
      <c r="F227" s="165" t="s">
        <v>230</v>
      </c>
      <c r="H227" s="166">
        <v>222.68</v>
      </c>
      <c r="I227" s="167"/>
      <c r="L227" s="163"/>
      <c r="M227" s="168"/>
      <c r="T227" s="169"/>
      <c r="AT227" s="164" t="s">
        <v>195</v>
      </c>
      <c r="AU227" s="164" t="s">
        <v>20</v>
      </c>
      <c r="AV227" s="13" t="s">
        <v>191</v>
      </c>
      <c r="AW227" s="13" t="s">
        <v>37</v>
      </c>
      <c r="AX227" s="13" t="s">
        <v>81</v>
      </c>
      <c r="AY227" s="164" t="s">
        <v>184</v>
      </c>
    </row>
    <row r="228" spans="2:65" s="12" customFormat="1" ht="11.25" x14ac:dyDescent="0.3">
      <c r="B228" s="155"/>
      <c r="D228" s="156" t="s">
        <v>195</v>
      </c>
      <c r="E228" s="157" t="s">
        <v>1</v>
      </c>
      <c r="F228" s="158" t="s">
        <v>608</v>
      </c>
      <c r="H228" s="159">
        <v>227.13399999999999</v>
      </c>
      <c r="I228" s="160"/>
      <c r="L228" s="155"/>
      <c r="M228" s="161"/>
      <c r="T228" s="162"/>
      <c r="AT228" s="157" t="s">
        <v>195</v>
      </c>
      <c r="AU228" s="157" t="s">
        <v>20</v>
      </c>
      <c r="AV228" s="12" t="s">
        <v>20</v>
      </c>
      <c r="AW228" s="12" t="s">
        <v>37</v>
      </c>
      <c r="AX228" s="12" t="s">
        <v>88</v>
      </c>
      <c r="AY228" s="157" t="s">
        <v>184</v>
      </c>
    </row>
    <row r="229" spans="2:65" s="1" customFormat="1" ht="16.5" customHeight="1" x14ac:dyDescent="0.3">
      <c r="B229" s="33"/>
      <c r="C229" s="172" t="s">
        <v>368</v>
      </c>
      <c r="D229" s="172" t="s">
        <v>271</v>
      </c>
      <c r="E229" s="173" t="s">
        <v>609</v>
      </c>
      <c r="F229" s="174" t="s">
        <v>610</v>
      </c>
      <c r="G229" s="175" t="s">
        <v>210</v>
      </c>
      <c r="H229" s="176">
        <v>11.22</v>
      </c>
      <c r="I229" s="177">
        <v>280.14999999999998</v>
      </c>
      <c r="J229" s="178">
        <f>ROUND(I229*H229,2)</f>
        <v>3143.28</v>
      </c>
      <c r="K229" s="174" t="s">
        <v>190</v>
      </c>
      <c r="L229" s="179"/>
      <c r="M229" s="180" t="s">
        <v>1</v>
      </c>
      <c r="N229" s="181" t="s">
        <v>47</v>
      </c>
      <c r="O229" s="147">
        <v>0</v>
      </c>
      <c r="P229" s="147">
        <f>O229*H229</f>
        <v>0</v>
      </c>
      <c r="Q229" s="147">
        <v>4.8399999999999999E-2</v>
      </c>
      <c r="R229" s="147">
        <f>Q229*H229</f>
        <v>0.54304799999999998</v>
      </c>
      <c r="S229" s="147">
        <v>0</v>
      </c>
      <c r="T229" s="148">
        <f>S229*H229</f>
        <v>0</v>
      </c>
      <c r="AR229" s="149" t="s">
        <v>239</v>
      </c>
      <c r="AT229" s="149" t="s">
        <v>271</v>
      </c>
      <c r="AU229" s="149" t="s">
        <v>20</v>
      </c>
      <c r="AY229" s="18" t="s">
        <v>184</v>
      </c>
      <c r="BE229" s="150">
        <f>IF(N229="základní",J229,0)</f>
        <v>3143.28</v>
      </c>
      <c r="BF229" s="150">
        <f>IF(N229="snížená",J229,0)</f>
        <v>0</v>
      </c>
      <c r="BG229" s="150">
        <f>IF(N229="zákl. přenesená",J229,0)</f>
        <v>0</v>
      </c>
      <c r="BH229" s="150">
        <f>IF(N229="sníž. přenesená",J229,0)</f>
        <v>0</v>
      </c>
      <c r="BI229" s="150">
        <f>IF(N229="nulová",J229,0)</f>
        <v>0</v>
      </c>
      <c r="BJ229" s="18" t="s">
        <v>88</v>
      </c>
      <c r="BK229" s="150">
        <f>ROUND(I229*H229,2)</f>
        <v>3143.28</v>
      </c>
      <c r="BL229" s="18" t="s">
        <v>191</v>
      </c>
      <c r="BM229" s="149" t="s">
        <v>611</v>
      </c>
    </row>
    <row r="230" spans="2:65" s="12" customFormat="1" ht="11.25" x14ac:dyDescent="0.3">
      <c r="B230" s="155"/>
      <c r="D230" s="156" t="s">
        <v>195</v>
      </c>
      <c r="E230" s="157" t="s">
        <v>1</v>
      </c>
      <c r="F230" s="158" t="s">
        <v>612</v>
      </c>
      <c r="H230" s="159">
        <v>2.44</v>
      </c>
      <c r="I230" s="160"/>
      <c r="L230" s="155"/>
      <c r="M230" s="161"/>
      <c r="T230" s="162"/>
      <c r="AT230" s="157" t="s">
        <v>195</v>
      </c>
      <c r="AU230" s="157" t="s">
        <v>20</v>
      </c>
      <c r="AV230" s="12" t="s">
        <v>20</v>
      </c>
      <c r="AW230" s="12" t="s">
        <v>37</v>
      </c>
      <c r="AX230" s="12" t="s">
        <v>81</v>
      </c>
      <c r="AY230" s="157" t="s">
        <v>184</v>
      </c>
    </row>
    <row r="231" spans="2:65" s="12" customFormat="1" ht="11.25" x14ac:dyDescent="0.3">
      <c r="B231" s="155"/>
      <c r="D231" s="156" t="s">
        <v>195</v>
      </c>
      <c r="E231" s="157" t="s">
        <v>1</v>
      </c>
      <c r="F231" s="158" t="s">
        <v>613</v>
      </c>
      <c r="H231" s="159">
        <v>4.87</v>
      </c>
      <c r="I231" s="160"/>
      <c r="L231" s="155"/>
      <c r="M231" s="161"/>
      <c r="T231" s="162"/>
      <c r="AT231" s="157" t="s">
        <v>195</v>
      </c>
      <c r="AU231" s="157" t="s">
        <v>20</v>
      </c>
      <c r="AV231" s="12" t="s">
        <v>20</v>
      </c>
      <c r="AW231" s="12" t="s">
        <v>37</v>
      </c>
      <c r="AX231" s="12" t="s">
        <v>81</v>
      </c>
      <c r="AY231" s="157" t="s">
        <v>184</v>
      </c>
    </row>
    <row r="232" spans="2:65" s="12" customFormat="1" ht="11.25" x14ac:dyDescent="0.3">
      <c r="B232" s="155"/>
      <c r="D232" s="156" t="s">
        <v>195</v>
      </c>
      <c r="E232" s="157" t="s">
        <v>1</v>
      </c>
      <c r="F232" s="158" t="s">
        <v>614</v>
      </c>
      <c r="H232" s="159">
        <v>3.69</v>
      </c>
      <c r="I232" s="160"/>
      <c r="L232" s="155"/>
      <c r="M232" s="161"/>
      <c r="T232" s="162"/>
      <c r="AT232" s="157" t="s">
        <v>195</v>
      </c>
      <c r="AU232" s="157" t="s">
        <v>20</v>
      </c>
      <c r="AV232" s="12" t="s">
        <v>20</v>
      </c>
      <c r="AW232" s="12" t="s">
        <v>37</v>
      </c>
      <c r="AX232" s="12" t="s">
        <v>81</v>
      </c>
      <c r="AY232" s="157" t="s">
        <v>184</v>
      </c>
    </row>
    <row r="233" spans="2:65" s="13" customFormat="1" ht="11.25" x14ac:dyDescent="0.3">
      <c r="B233" s="163"/>
      <c r="D233" s="156" t="s">
        <v>195</v>
      </c>
      <c r="E233" s="164" t="s">
        <v>1</v>
      </c>
      <c r="F233" s="165" t="s">
        <v>230</v>
      </c>
      <c r="H233" s="166">
        <v>11</v>
      </c>
      <c r="I233" s="167"/>
      <c r="L233" s="163"/>
      <c r="M233" s="168"/>
      <c r="T233" s="169"/>
      <c r="AT233" s="164" t="s">
        <v>195</v>
      </c>
      <c r="AU233" s="164" t="s">
        <v>20</v>
      </c>
      <c r="AV233" s="13" t="s">
        <v>191</v>
      </c>
      <c r="AW233" s="13" t="s">
        <v>37</v>
      </c>
      <c r="AX233" s="13" t="s">
        <v>81</v>
      </c>
      <c r="AY233" s="164" t="s">
        <v>184</v>
      </c>
    </row>
    <row r="234" spans="2:65" s="12" customFormat="1" ht="11.25" x14ac:dyDescent="0.3">
      <c r="B234" s="155"/>
      <c r="D234" s="156" t="s">
        <v>195</v>
      </c>
      <c r="E234" s="157" t="s">
        <v>1</v>
      </c>
      <c r="F234" s="158" t="s">
        <v>615</v>
      </c>
      <c r="H234" s="159">
        <v>11.22</v>
      </c>
      <c r="I234" s="160"/>
      <c r="L234" s="155"/>
      <c r="M234" s="161"/>
      <c r="T234" s="162"/>
      <c r="AT234" s="157" t="s">
        <v>195</v>
      </c>
      <c r="AU234" s="157" t="s">
        <v>20</v>
      </c>
      <c r="AV234" s="12" t="s">
        <v>20</v>
      </c>
      <c r="AW234" s="12" t="s">
        <v>37</v>
      </c>
      <c r="AX234" s="12" t="s">
        <v>88</v>
      </c>
      <c r="AY234" s="157" t="s">
        <v>184</v>
      </c>
    </row>
    <row r="235" spans="2:65" s="1" customFormat="1" ht="16.5" customHeight="1" x14ac:dyDescent="0.3">
      <c r="B235" s="33"/>
      <c r="C235" s="172" t="s">
        <v>376</v>
      </c>
      <c r="D235" s="172" t="s">
        <v>271</v>
      </c>
      <c r="E235" s="173" t="s">
        <v>329</v>
      </c>
      <c r="F235" s="174" t="s">
        <v>330</v>
      </c>
      <c r="G235" s="175" t="s">
        <v>210</v>
      </c>
      <c r="H235" s="176">
        <v>45.9</v>
      </c>
      <c r="I235" s="177">
        <v>404.13</v>
      </c>
      <c r="J235" s="178">
        <f>ROUND(I235*H235,2)</f>
        <v>18549.57</v>
      </c>
      <c r="K235" s="174" t="s">
        <v>190</v>
      </c>
      <c r="L235" s="179"/>
      <c r="M235" s="180" t="s">
        <v>1</v>
      </c>
      <c r="N235" s="181" t="s">
        <v>47</v>
      </c>
      <c r="O235" s="147">
        <v>0</v>
      </c>
      <c r="P235" s="147">
        <f>O235*H235</f>
        <v>0</v>
      </c>
      <c r="Q235" s="147">
        <v>6.5670000000000006E-2</v>
      </c>
      <c r="R235" s="147">
        <f>Q235*H235</f>
        <v>3.0142530000000001</v>
      </c>
      <c r="S235" s="147">
        <v>0</v>
      </c>
      <c r="T235" s="148">
        <f>S235*H235</f>
        <v>0</v>
      </c>
      <c r="AR235" s="149" t="s">
        <v>239</v>
      </c>
      <c r="AT235" s="149" t="s">
        <v>271</v>
      </c>
      <c r="AU235" s="149" t="s">
        <v>20</v>
      </c>
      <c r="AY235" s="18" t="s">
        <v>184</v>
      </c>
      <c r="BE235" s="150">
        <f>IF(N235="základní",J235,0)</f>
        <v>18549.57</v>
      </c>
      <c r="BF235" s="150">
        <f>IF(N235="snížená",J235,0)</f>
        <v>0</v>
      </c>
      <c r="BG235" s="150">
        <f>IF(N235="zákl. přenesená",J235,0)</f>
        <v>0</v>
      </c>
      <c r="BH235" s="150">
        <f>IF(N235="sníž. přenesená",J235,0)</f>
        <v>0</v>
      </c>
      <c r="BI235" s="150">
        <f>IF(N235="nulová",J235,0)</f>
        <v>0</v>
      </c>
      <c r="BJ235" s="18" t="s">
        <v>88</v>
      </c>
      <c r="BK235" s="150">
        <f>ROUND(I235*H235,2)</f>
        <v>18549.57</v>
      </c>
      <c r="BL235" s="18" t="s">
        <v>191</v>
      </c>
      <c r="BM235" s="149" t="s">
        <v>616</v>
      </c>
    </row>
    <row r="236" spans="2:65" s="12" customFormat="1" ht="11.25" x14ac:dyDescent="0.3">
      <c r="B236" s="155"/>
      <c r="D236" s="156" t="s">
        <v>195</v>
      </c>
      <c r="E236" s="157" t="s">
        <v>1</v>
      </c>
      <c r="F236" s="158" t="s">
        <v>617</v>
      </c>
      <c r="H236" s="159">
        <v>45</v>
      </c>
      <c r="I236" s="160"/>
      <c r="L236" s="155"/>
      <c r="M236" s="161"/>
      <c r="T236" s="162"/>
      <c r="AT236" s="157" t="s">
        <v>195</v>
      </c>
      <c r="AU236" s="157" t="s">
        <v>20</v>
      </c>
      <c r="AV236" s="12" t="s">
        <v>20</v>
      </c>
      <c r="AW236" s="12" t="s">
        <v>37</v>
      </c>
      <c r="AX236" s="12" t="s">
        <v>81</v>
      </c>
      <c r="AY236" s="157" t="s">
        <v>184</v>
      </c>
    </row>
    <row r="237" spans="2:65" s="12" customFormat="1" ht="11.25" x14ac:dyDescent="0.3">
      <c r="B237" s="155"/>
      <c r="D237" s="156" t="s">
        <v>195</v>
      </c>
      <c r="E237" s="157" t="s">
        <v>1</v>
      </c>
      <c r="F237" s="158" t="s">
        <v>618</v>
      </c>
      <c r="H237" s="159">
        <v>45.9</v>
      </c>
      <c r="I237" s="160"/>
      <c r="L237" s="155"/>
      <c r="M237" s="161"/>
      <c r="T237" s="162"/>
      <c r="AT237" s="157" t="s">
        <v>195</v>
      </c>
      <c r="AU237" s="157" t="s">
        <v>20</v>
      </c>
      <c r="AV237" s="12" t="s">
        <v>20</v>
      </c>
      <c r="AW237" s="12" t="s">
        <v>37</v>
      </c>
      <c r="AX237" s="12" t="s">
        <v>88</v>
      </c>
      <c r="AY237" s="157" t="s">
        <v>184</v>
      </c>
    </row>
    <row r="238" spans="2:65" s="1" customFormat="1" ht="16.5" customHeight="1" x14ac:dyDescent="0.3">
      <c r="B238" s="33"/>
      <c r="C238" s="138" t="s">
        <v>385</v>
      </c>
      <c r="D238" s="138" t="s">
        <v>186</v>
      </c>
      <c r="E238" s="139" t="s">
        <v>478</v>
      </c>
      <c r="F238" s="140" t="s">
        <v>479</v>
      </c>
      <c r="G238" s="141" t="s">
        <v>189</v>
      </c>
      <c r="H238" s="142">
        <v>1541</v>
      </c>
      <c r="I238" s="143">
        <v>30.54</v>
      </c>
      <c r="J238" s="144">
        <f>ROUND(I238*H238,2)</f>
        <v>47062.14</v>
      </c>
      <c r="K238" s="140" t="s">
        <v>190</v>
      </c>
      <c r="L238" s="33"/>
      <c r="M238" s="145" t="s">
        <v>1</v>
      </c>
      <c r="N238" s="146" t="s">
        <v>47</v>
      </c>
      <c r="O238" s="147">
        <v>1.2999999999999999E-2</v>
      </c>
      <c r="P238" s="147">
        <f>O238*H238</f>
        <v>20.032999999999998</v>
      </c>
      <c r="Q238" s="147">
        <v>0</v>
      </c>
      <c r="R238" s="147">
        <f>Q238*H238</f>
        <v>0</v>
      </c>
      <c r="S238" s="147">
        <v>0.01</v>
      </c>
      <c r="T238" s="148">
        <f>S238*H238</f>
        <v>15.41</v>
      </c>
      <c r="AR238" s="149" t="s">
        <v>191</v>
      </c>
      <c r="AT238" s="149" t="s">
        <v>186</v>
      </c>
      <c r="AU238" s="149" t="s">
        <v>20</v>
      </c>
      <c r="AY238" s="18" t="s">
        <v>184</v>
      </c>
      <c r="BE238" s="150">
        <f>IF(N238="základní",J238,0)</f>
        <v>47062.14</v>
      </c>
      <c r="BF238" s="150">
        <f>IF(N238="snížená",J238,0)</f>
        <v>0</v>
      </c>
      <c r="BG238" s="150">
        <f>IF(N238="zákl. přenesená",J238,0)</f>
        <v>0</v>
      </c>
      <c r="BH238" s="150">
        <f>IF(N238="sníž. přenesená",J238,0)</f>
        <v>0</v>
      </c>
      <c r="BI238" s="150">
        <f>IF(N238="nulová",J238,0)</f>
        <v>0</v>
      </c>
      <c r="BJ238" s="18" t="s">
        <v>88</v>
      </c>
      <c r="BK238" s="150">
        <f>ROUND(I238*H238,2)</f>
        <v>47062.14</v>
      </c>
      <c r="BL238" s="18" t="s">
        <v>191</v>
      </c>
      <c r="BM238" s="149" t="s">
        <v>619</v>
      </c>
    </row>
    <row r="239" spans="2:65" s="1" customFormat="1" x14ac:dyDescent="0.3">
      <c r="B239" s="33"/>
      <c r="D239" s="151" t="s">
        <v>193</v>
      </c>
      <c r="F239" s="152" t="s">
        <v>481</v>
      </c>
      <c r="I239" s="153"/>
      <c r="L239" s="33"/>
      <c r="M239" s="154"/>
      <c r="T239" s="57"/>
      <c r="AT239" s="18" t="s">
        <v>193</v>
      </c>
      <c r="AU239" s="18" t="s">
        <v>20</v>
      </c>
    </row>
    <row r="240" spans="2:65" s="1" customFormat="1" ht="16.5" customHeight="1" x14ac:dyDescent="0.3">
      <c r="B240" s="33"/>
      <c r="C240" s="138" t="s">
        <v>392</v>
      </c>
      <c r="D240" s="138" t="s">
        <v>186</v>
      </c>
      <c r="E240" s="139" t="s">
        <v>482</v>
      </c>
      <c r="F240" s="140" t="s">
        <v>483</v>
      </c>
      <c r="G240" s="141" t="s">
        <v>189</v>
      </c>
      <c r="H240" s="142">
        <v>1541</v>
      </c>
      <c r="I240" s="143">
        <v>6.11</v>
      </c>
      <c r="J240" s="144">
        <f>ROUND(I240*H240,2)</f>
        <v>9415.51</v>
      </c>
      <c r="K240" s="140" t="s">
        <v>190</v>
      </c>
      <c r="L240" s="33"/>
      <c r="M240" s="145" t="s">
        <v>1</v>
      </c>
      <c r="N240" s="146" t="s">
        <v>47</v>
      </c>
      <c r="O240" s="147">
        <v>2E-3</v>
      </c>
      <c r="P240" s="147">
        <f>O240*H240</f>
        <v>3.0819999999999999</v>
      </c>
      <c r="Q240" s="147">
        <v>0</v>
      </c>
      <c r="R240" s="147">
        <f>Q240*H240</f>
        <v>0</v>
      </c>
      <c r="S240" s="147">
        <v>0.02</v>
      </c>
      <c r="T240" s="148">
        <f>S240*H240</f>
        <v>30.82</v>
      </c>
      <c r="AR240" s="149" t="s">
        <v>191</v>
      </c>
      <c r="AT240" s="149" t="s">
        <v>186</v>
      </c>
      <c r="AU240" s="149" t="s">
        <v>20</v>
      </c>
      <c r="AY240" s="18" t="s">
        <v>184</v>
      </c>
      <c r="BE240" s="150">
        <f>IF(N240="základní",J240,0)</f>
        <v>9415.51</v>
      </c>
      <c r="BF240" s="150">
        <f>IF(N240="snížená",J240,0)</f>
        <v>0</v>
      </c>
      <c r="BG240" s="150">
        <f>IF(N240="zákl. přenesená",J240,0)</f>
        <v>0</v>
      </c>
      <c r="BH240" s="150">
        <f>IF(N240="sníž. přenesená",J240,0)</f>
        <v>0</v>
      </c>
      <c r="BI240" s="150">
        <f>IF(N240="nulová",J240,0)</f>
        <v>0</v>
      </c>
      <c r="BJ240" s="18" t="s">
        <v>88</v>
      </c>
      <c r="BK240" s="150">
        <f>ROUND(I240*H240,2)</f>
        <v>9415.51</v>
      </c>
      <c r="BL240" s="18" t="s">
        <v>191</v>
      </c>
      <c r="BM240" s="149" t="s">
        <v>620</v>
      </c>
    </row>
    <row r="241" spans="2:65" s="1" customFormat="1" x14ac:dyDescent="0.3">
      <c r="B241" s="33"/>
      <c r="D241" s="151" t="s">
        <v>193</v>
      </c>
      <c r="F241" s="152" t="s">
        <v>485</v>
      </c>
      <c r="I241" s="153"/>
      <c r="L241" s="33"/>
      <c r="M241" s="154"/>
      <c r="T241" s="57"/>
      <c r="AT241" s="18" t="s">
        <v>193</v>
      </c>
      <c r="AU241" s="18" t="s">
        <v>20</v>
      </c>
    </row>
    <row r="242" spans="2:65" s="1" customFormat="1" ht="16.5" customHeight="1" x14ac:dyDescent="0.3">
      <c r="B242" s="33"/>
      <c r="C242" s="138" t="s">
        <v>621</v>
      </c>
      <c r="D242" s="138" t="s">
        <v>186</v>
      </c>
      <c r="E242" s="139" t="s">
        <v>622</v>
      </c>
      <c r="F242" s="140" t="s">
        <v>623</v>
      </c>
      <c r="G242" s="141" t="s">
        <v>557</v>
      </c>
      <c r="H242" s="142">
        <v>10</v>
      </c>
      <c r="I242" s="143">
        <v>458.15</v>
      </c>
      <c r="J242" s="144">
        <f>ROUND(I242*H242,2)</f>
        <v>4581.5</v>
      </c>
      <c r="K242" s="140" t="s">
        <v>190</v>
      </c>
      <c r="L242" s="33"/>
      <c r="M242" s="145" t="s">
        <v>1</v>
      </c>
      <c r="N242" s="146" t="s">
        <v>47</v>
      </c>
      <c r="O242" s="147">
        <v>0.55700000000000005</v>
      </c>
      <c r="P242" s="147">
        <f>O242*H242</f>
        <v>5.57</v>
      </c>
      <c r="Q242" s="147">
        <v>0</v>
      </c>
      <c r="R242" s="147">
        <f>Q242*H242</f>
        <v>0</v>
      </c>
      <c r="S242" s="147">
        <v>8.2000000000000003E-2</v>
      </c>
      <c r="T242" s="148">
        <f>S242*H242</f>
        <v>0.82000000000000006</v>
      </c>
      <c r="AR242" s="149" t="s">
        <v>191</v>
      </c>
      <c r="AT242" s="149" t="s">
        <v>186</v>
      </c>
      <c r="AU242" s="149" t="s">
        <v>20</v>
      </c>
      <c r="AY242" s="18" t="s">
        <v>184</v>
      </c>
      <c r="BE242" s="150">
        <f>IF(N242="základní",J242,0)</f>
        <v>4581.5</v>
      </c>
      <c r="BF242" s="150">
        <f>IF(N242="snížená",J242,0)</f>
        <v>0</v>
      </c>
      <c r="BG242" s="150">
        <f>IF(N242="zákl. přenesená",J242,0)</f>
        <v>0</v>
      </c>
      <c r="BH242" s="150">
        <f>IF(N242="sníž. přenesená",J242,0)</f>
        <v>0</v>
      </c>
      <c r="BI242" s="150">
        <f>IF(N242="nulová",J242,0)</f>
        <v>0</v>
      </c>
      <c r="BJ242" s="18" t="s">
        <v>88</v>
      </c>
      <c r="BK242" s="150">
        <f>ROUND(I242*H242,2)</f>
        <v>4581.5</v>
      </c>
      <c r="BL242" s="18" t="s">
        <v>191</v>
      </c>
      <c r="BM242" s="149" t="s">
        <v>624</v>
      </c>
    </row>
    <row r="243" spans="2:65" s="1" customFormat="1" x14ac:dyDescent="0.3">
      <c r="B243" s="33"/>
      <c r="D243" s="151" t="s">
        <v>193</v>
      </c>
      <c r="F243" s="152" t="s">
        <v>625</v>
      </c>
      <c r="I243" s="153"/>
      <c r="L243" s="33"/>
      <c r="M243" s="154"/>
      <c r="T243" s="57"/>
      <c r="AT243" s="18" t="s">
        <v>193</v>
      </c>
      <c r="AU243" s="18" t="s">
        <v>20</v>
      </c>
    </row>
    <row r="244" spans="2:65" s="1" customFormat="1" ht="19.5" x14ac:dyDescent="0.3">
      <c r="B244" s="33"/>
      <c r="D244" s="156" t="s">
        <v>236</v>
      </c>
      <c r="F244" s="170" t="s">
        <v>626</v>
      </c>
      <c r="I244" s="153"/>
      <c r="L244" s="33"/>
      <c r="M244" s="154"/>
      <c r="T244" s="57"/>
      <c r="AT244" s="18" t="s">
        <v>236</v>
      </c>
      <c r="AU244" s="18" t="s">
        <v>20</v>
      </c>
    </row>
    <row r="245" spans="2:65" s="12" customFormat="1" ht="11.25" x14ac:dyDescent="0.3">
      <c r="B245" s="155"/>
      <c r="D245" s="156" t="s">
        <v>195</v>
      </c>
      <c r="E245" s="157" t="s">
        <v>1</v>
      </c>
      <c r="F245" s="158" t="s">
        <v>627</v>
      </c>
      <c r="H245" s="159">
        <v>5</v>
      </c>
      <c r="I245" s="160"/>
      <c r="L245" s="155"/>
      <c r="M245" s="161"/>
      <c r="T245" s="162"/>
      <c r="AT245" s="157" t="s">
        <v>195</v>
      </c>
      <c r="AU245" s="157" t="s">
        <v>20</v>
      </c>
      <c r="AV245" s="12" t="s">
        <v>20</v>
      </c>
      <c r="AW245" s="12" t="s">
        <v>37</v>
      </c>
      <c r="AX245" s="12" t="s">
        <v>81</v>
      </c>
      <c r="AY245" s="157" t="s">
        <v>184</v>
      </c>
    </row>
    <row r="246" spans="2:65" s="12" customFormat="1" ht="11.25" x14ac:dyDescent="0.3">
      <c r="B246" s="155"/>
      <c r="D246" s="156" t="s">
        <v>195</v>
      </c>
      <c r="E246" s="157" t="s">
        <v>1</v>
      </c>
      <c r="F246" s="158" t="s">
        <v>628</v>
      </c>
      <c r="H246" s="159">
        <v>4</v>
      </c>
      <c r="I246" s="160"/>
      <c r="L246" s="155"/>
      <c r="M246" s="161"/>
      <c r="T246" s="162"/>
      <c r="AT246" s="157" t="s">
        <v>195</v>
      </c>
      <c r="AU246" s="157" t="s">
        <v>20</v>
      </c>
      <c r="AV246" s="12" t="s">
        <v>20</v>
      </c>
      <c r="AW246" s="12" t="s">
        <v>37</v>
      </c>
      <c r="AX246" s="12" t="s">
        <v>81</v>
      </c>
      <c r="AY246" s="157" t="s">
        <v>184</v>
      </c>
    </row>
    <row r="247" spans="2:65" s="12" customFormat="1" ht="11.25" x14ac:dyDescent="0.3">
      <c r="B247" s="155"/>
      <c r="D247" s="156" t="s">
        <v>195</v>
      </c>
      <c r="E247" s="157" t="s">
        <v>1</v>
      </c>
      <c r="F247" s="158" t="s">
        <v>629</v>
      </c>
      <c r="H247" s="159">
        <v>1</v>
      </c>
      <c r="I247" s="160"/>
      <c r="L247" s="155"/>
      <c r="M247" s="161"/>
      <c r="T247" s="162"/>
      <c r="AT247" s="157" t="s">
        <v>195</v>
      </c>
      <c r="AU247" s="157" t="s">
        <v>20</v>
      </c>
      <c r="AV247" s="12" t="s">
        <v>20</v>
      </c>
      <c r="AW247" s="12" t="s">
        <v>37</v>
      </c>
      <c r="AX247" s="12" t="s">
        <v>81</v>
      </c>
      <c r="AY247" s="157" t="s">
        <v>184</v>
      </c>
    </row>
    <row r="248" spans="2:65" s="13" customFormat="1" ht="11.25" x14ac:dyDescent="0.3">
      <c r="B248" s="163"/>
      <c r="D248" s="156" t="s">
        <v>195</v>
      </c>
      <c r="E248" s="164" t="s">
        <v>1</v>
      </c>
      <c r="F248" s="165" t="s">
        <v>230</v>
      </c>
      <c r="H248" s="166">
        <v>10</v>
      </c>
      <c r="I248" s="167"/>
      <c r="L248" s="163"/>
      <c r="M248" s="168"/>
      <c r="T248" s="169"/>
      <c r="AT248" s="164" t="s">
        <v>195</v>
      </c>
      <c r="AU248" s="164" t="s">
        <v>20</v>
      </c>
      <c r="AV248" s="13" t="s">
        <v>191</v>
      </c>
      <c r="AW248" s="13" t="s">
        <v>37</v>
      </c>
      <c r="AX248" s="13" t="s">
        <v>88</v>
      </c>
      <c r="AY248" s="164" t="s">
        <v>184</v>
      </c>
    </row>
    <row r="249" spans="2:65" s="11" customFormat="1" ht="22.9" customHeight="1" x14ac:dyDescent="0.2">
      <c r="B249" s="127"/>
      <c r="D249" s="128" t="s">
        <v>80</v>
      </c>
      <c r="E249" s="136" t="s">
        <v>358</v>
      </c>
      <c r="F249" s="136" t="s">
        <v>359</v>
      </c>
      <c r="I249" s="171"/>
      <c r="J249" s="137">
        <f>BK249</f>
        <v>274707.39</v>
      </c>
      <c r="L249" s="127"/>
      <c r="M249" s="131"/>
      <c r="P249" s="132">
        <f>SUM(P250:P266)</f>
        <v>912.8436999999999</v>
      </c>
      <c r="R249" s="132">
        <f>SUM(R250:R266)</f>
        <v>0</v>
      </c>
      <c r="T249" s="133">
        <f>SUM(T250:T266)</f>
        <v>0</v>
      </c>
      <c r="AR249" s="128" t="s">
        <v>88</v>
      </c>
      <c r="AT249" s="134" t="s">
        <v>80</v>
      </c>
      <c r="AU249" s="134" t="s">
        <v>88</v>
      </c>
      <c r="AY249" s="128" t="s">
        <v>184</v>
      </c>
      <c r="BK249" s="135">
        <f>SUM(BK250:BK266)</f>
        <v>274707.39</v>
      </c>
    </row>
    <row r="250" spans="2:65" s="1" customFormat="1" ht="16.5" customHeight="1" x14ac:dyDescent="0.3">
      <c r="B250" s="33"/>
      <c r="C250" s="138" t="s">
        <v>630</v>
      </c>
      <c r="D250" s="138" t="s">
        <v>186</v>
      </c>
      <c r="E250" s="139" t="s">
        <v>361</v>
      </c>
      <c r="F250" s="140" t="s">
        <v>362</v>
      </c>
      <c r="G250" s="141" t="s">
        <v>248</v>
      </c>
      <c r="H250" s="142">
        <v>958.82</v>
      </c>
      <c r="I250" s="143">
        <v>178.35</v>
      </c>
      <c r="J250" s="144">
        <f>ROUND(I250*H250,2)</f>
        <v>171005.55</v>
      </c>
      <c r="K250" s="140" t="s">
        <v>190</v>
      </c>
      <c r="L250" s="33"/>
      <c r="M250" s="145" t="s">
        <v>1</v>
      </c>
      <c r="N250" s="146" t="s">
        <v>47</v>
      </c>
      <c r="O250" s="147">
        <v>0.83499999999999996</v>
      </c>
      <c r="P250" s="147">
        <f>O250*H250</f>
        <v>800.61469999999997</v>
      </c>
      <c r="Q250" s="147">
        <v>0</v>
      </c>
      <c r="R250" s="147">
        <f>Q250*H250</f>
        <v>0</v>
      </c>
      <c r="S250" s="147">
        <v>0</v>
      </c>
      <c r="T250" s="148">
        <f>S250*H250</f>
        <v>0</v>
      </c>
      <c r="AR250" s="149" t="s">
        <v>191</v>
      </c>
      <c r="AT250" s="149" t="s">
        <v>186</v>
      </c>
      <c r="AU250" s="149" t="s">
        <v>20</v>
      </c>
      <c r="AY250" s="18" t="s">
        <v>184</v>
      </c>
      <c r="BE250" s="150">
        <f>IF(N250="základní",J250,0)</f>
        <v>171005.55</v>
      </c>
      <c r="BF250" s="150">
        <f>IF(N250="snížená",J250,0)</f>
        <v>0</v>
      </c>
      <c r="BG250" s="150">
        <f>IF(N250="zákl. přenesená",J250,0)</f>
        <v>0</v>
      </c>
      <c r="BH250" s="150">
        <f>IF(N250="sníž. přenesená",J250,0)</f>
        <v>0</v>
      </c>
      <c r="BI250" s="150">
        <f>IF(N250="nulová",J250,0)</f>
        <v>0</v>
      </c>
      <c r="BJ250" s="18" t="s">
        <v>88</v>
      </c>
      <c r="BK250" s="150">
        <f>ROUND(I250*H250,2)</f>
        <v>171005.55</v>
      </c>
      <c r="BL250" s="18" t="s">
        <v>191</v>
      </c>
      <c r="BM250" s="149" t="s">
        <v>631</v>
      </c>
    </row>
    <row r="251" spans="2:65" s="1" customFormat="1" x14ac:dyDescent="0.3">
      <c r="B251" s="33"/>
      <c r="D251" s="151" t="s">
        <v>193</v>
      </c>
      <c r="F251" s="152" t="s">
        <v>364</v>
      </c>
      <c r="I251" s="153"/>
      <c r="L251" s="33"/>
      <c r="M251" s="154"/>
      <c r="T251" s="57"/>
      <c r="AT251" s="18" t="s">
        <v>193</v>
      </c>
      <c r="AU251" s="18" t="s">
        <v>20</v>
      </c>
    </row>
    <row r="252" spans="2:65" s="12" customFormat="1" ht="11.25" x14ac:dyDescent="0.3">
      <c r="B252" s="155"/>
      <c r="D252" s="156" t="s">
        <v>195</v>
      </c>
      <c r="E252" s="157" t="s">
        <v>1</v>
      </c>
      <c r="F252" s="158" t="s">
        <v>632</v>
      </c>
      <c r="H252" s="159">
        <v>589.03</v>
      </c>
      <c r="I252" s="160"/>
      <c r="L252" s="155"/>
      <c r="M252" s="161"/>
      <c r="T252" s="162"/>
      <c r="AT252" s="157" t="s">
        <v>195</v>
      </c>
      <c r="AU252" s="157" t="s">
        <v>20</v>
      </c>
      <c r="AV252" s="12" t="s">
        <v>20</v>
      </c>
      <c r="AW252" s="12" t="s">
        <v>37</v>
      </c>
      <c r="AX252" s="12" t="s">
        <v>81</v>
      </c>
      <c r="AY252" s="157" t="s">
        <v>184</v>
      </c>
    </row>
    <row r="253" spans="2:65" s="12" customFormat="1" ht="11.25" x14ac:dyDescent="0.3">
      <c r="B253" s="155"/>
      <c r="D253" s="156" t="s">
        <v>195</v>
      </c>
      <c r="E253" s="157" t="s">
        <v>1</v>
      </c>
      <c r="F253" s="158" t="s">
        <v>633</v>
      </c>
      <c r="H253" s="159">
        <v>341.11</v>
      </c>
      <c r="I253" s="160"/>
      <c r="L253" s="155"/>
      <c r="M253" s="161"/>
      <c r="T253" s="162"/>
      <c r="AT253" s="157" t="s">
        <v>195</v>
      </c>
      <c r="AU253" s="157" t="s">
        <v>20</v>
      </c>
      <c r="AV253" s="12" t="s">
        <v>20</v>
      </c>
      <c r="AW253" s="12" t="s">
        <v>37</v>
      </c>
      <c r="AX253" s="12" t="s">
        <v>81</v>
      </c>
      <c r="AY253" s="157" t="s">
        <v>184</v>
      </c>
    </row>
    <row r="254" spans="2:65" s="12" customFormat="1" ht="11.25" x14ac:dyDescent="0.3">
      <c r="B254" s="155"/>
      <c r="D254" s="156" t="s">
        <v>195</v>
      </c>
      <c r="E254" s="157" t="s">
        <v>1</v>
      </c>
      <c r="F254" s="158" t="s">
        <v>634</v>
      </c>
      <c r="H254" s="159">
        <v>28.68</v>
      </c>
      <c r="I254" s="160"/>
      <c r="L254" s="155"/>
      <c r="M254" s="161"/>
      <c r="T254" s="162"/>
      <c r="AT254" s="157" t="s">
        <v>195</v>
      </c>
      <c r="AU254" s="157" t="s">
        <v>20</v>
      </c>
      <c r="AV254" s="12" t="s">
        <v>20</v>
      </c>
      <c r="AW254" s="12" t="s">
        <v>37</v>
      </c>
      <c r="AX254" s="12" t="s">
        <v>81</v>
      </c>
      <c r="AY254" s="157" t="s">
        <v>184</v>
      </c>
    </row>
    <row r="255" spans="2:65" s="13" customFormat="1" ht="11.25" x14ac:dyDescent="0.3">
      <c r="B255" s="163"/>
      <c r="D255" s="156" t="s">
        <v>195</v>
      </c>
      <c r="E255" s="164" t="s">
        <v>1</v>
      </c>
      <c r="F255" s="165" t="s">
        <v>230</v>
      </c>
      <c r="H255" s="166">
        <v>958.82</v>
      </c>
      <c r="I255" s="167"/>
      <c r="L255" s="163"/>
      <c r="M255" s="168"/>
      <c r="T255" s="169"/>
      <c r="AT255" s="164" t="s">
        <v>195</v>
      </c>
      <c r="AU255" s="164" t="s">
        <v>20</v>
      </c>
      <c r="AV255" s="13" t="s">
        <v>191</v>
      </c>
      <c r="AW255" s="13" t="s">
        <v>37</v>
      </c>
      <c r="AX255" s="13" t="s">
        <v>88</v>
      </c>
      <c r="AY255" s="164" t="s">
        <v>184</v>
      </c>
    </row>
    <row r="256" spans="2:65" s="1" customFormat="1" ht="16.5" customHeight="1" x14ac:dyDescent="0.3">
      <c r="B256" s="33"/>
      <c r="C256" s="138" t="s">
        <v>635</v>
      </c>
      <c r="D256" s="138" t="s">
        <v>186</v>
      </c>
      <c r="E256" s="139" t="s">
        <v>636</v>
      </c>
      <c r="F256" s="140" t="s">
        <v>637</v>
      </c>
      <c r="G256" s="141" t="s">
        <v>248</v>
      </c>
      <c r="H256" s="142">
        <v>372.84</v>
      </c>
      <c r="I256" s="143">
        <v>17.12</v>
      </c>
      <c r="J256" s="144">
        <f>ROUND(I256*H256,2)</f>
        <v>6383.02</v>
      </c>
      <c r="K256" s="140" t="s">
        <v>190</v>
      </c>
      <c r="L256" s="33"/>
      <c r="M256" s="145" t="s">
        <v>1</v>
      </c>
      <c r="N256" s="146" t="s">
        <v>47</v>
      </c>
      <c r="O256" s="147">
        <v>4.0000000000000001E-3</v>
      </c>
      <c r="P256" s="147">
        <f>O256*H256</f>
        <v>1.49136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49" t="s">
        <v>191</v>
      </c>
      <c r="AT256" s="149" t="s">
        <v>186</v>
      </c>
      <c r="AU256" s="149" t="s">
        <v>20</v>
      </c>
      <c r="AY256" s="18" t="s">
        <v>184</v>
      </c>
      <c r="BE256" s="150">
        <f>IF(N256="základní",J256,0)</f>
        <v>6383.02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8" t="s">
        <v>88</v>
      </c>
      <c r="BK256" s="150">
        <f>ROUND(I256*H256,2)</f>
        <v>6383.02</v>
      </c>
      <c r="BL256" s="18" t="s">
        <v>191</v>
      </c>
      <c r="BM256" s="149" t="s">
        <v>638</v>
      </c>
    </row>
    <row r="257" spans="2:65" s="1" customFormat="1" x14ac:dyDescent="0.3">
      <c r="B257" s="33"/>
      <c r="D257" s="151" t="s">
        <v>193</v>
      </c>
      <c r="F257" s="152" t="s">
        <v>639</v>
      </c>
      <c r="I257" s="153"/>
      <c r="L257" s="33"/>
      <c r="M257" s="154"/>
      <c r="T257" s="57"/>
      <c r="AT257" s="18" t="s">
        <v>193</v>
      </c>
      <c r="AU257" s="18" t="s">
        <v>20</v>
      </c>
    </row>
    <row r="258" spans="2:65" s="1" customFormat="1" ht="19.5" x14ac:dyDescent="0.3">
      <c r="B258" s="33"/>
      <c r="D258" s="156" t="s">
        <v>236</v>
      </c>
      <c r="F258" s="170" t="s">
        <v>640</v>
      </c>
      <c r="I258" s="153"/>
      <c r="L258" s="33"/>
      <c r="M258" s="154"/>
      <c r="T258" s="57"/>
      <c r="AT258" s="18" t="s">
        <v>236</v>
      </c>
      <c r="AU258" s="18" t="s">
        <v>20</v>
      </c>
    </row>
    <row r="259" spans="2:65" s="12" customFormat="1" ht="11.25" x14ac:dyDescent="0.3">
      <c r="B259" s="155"/>
      <c r="D259" s="156" t="s">
        <v>195</v>
      </c>
      <c r="E259" s="157" t="s">
        <v>1</v>
      </c>
      <c r="F259" s="158" t="s">
        <v>634</v>
      </c>
      <c r="H259" s="159">
        <v>28.68</v>
      </c>
      <c r="I259" s="160"/>
      <c r="L259" s="155"/>
      <c r="M259" s="161"/>
      <c r="T259" s="162"/>
      <c r="AT259" s="157" t="s">
        <v>195</v>
      </c>
      <c r="AU259" s="157" t="s">
        <v>20</v>
      </c>
      <c r="AV259" s="12" t="s">
        <v>20</v>
      </c>
      <c r="AW259" s="12" t="s">
        <v>37</v>
      </c>
      <c r="AX259" s="12" t="s">
        <v>81</v>
      </c>
      <c r="AY259" s="157" t="s">
        <v>184</v>
      </c>
    </row>
    <row r="260" spans="2:65" s="12" customFormat="1" ht="11.25" x14ac:dyDescent="0.3">
      <c r="B260" s="155"/>
      <c r="D260" s="156" t="s">
        <v>195</v>
      </c>
      <c r="E260" s="157" t="s">
        <v>1</v>
      </c>
      <c r="F260" s="158" t="s">
        <v>641</v>
      </c>
      <c r="H260" s="159">
        <v>372.84</v>
      </c>
      <c r="I260" s="160"/>
      <c r="L260" s="155"/>
      <c r="M260" s="161"/>
      <c r="T260" s="162"/>
      <c r="AT260" s="157" t="s">
        <v>195</v>
      </c>
      <c r="AU260" s="157" t="s">
        <v>20</v>
      </c>
      <c r="AV260" s="12" t="s">
        <v>20</v>
      </c>
      <c r="AW260" s="12" t="s">
        <v>37</v>
      </c>
      <c r="AX260" s="12" t="s">
        <v>88</v>
      </c>
      <c r="AY260" s="157" t="s">
        <v>184</v>
      </c>
    </row>
    <row r="261" spans="2:65" s="1" customFormat="1" ht="21.75" customHeight="1" x14ac:dyDescent="0.3">
      <c r="B261" s="33"/>
      <c r="C261" s="138" t="s">
        <v>642</v>
      </c>
      <c r="D261" s="138" t="s">
        <v>186</v>
      </c>
      <c r="E261" s="139" t="s">
        <v>643</v>
      </c>
      <c r="F261" s="140" t="s">
        <v>644</v>
      </c>
      <c r="G261" s="141" t="s">
        <v>248</v>
      </c>
      <c r="H261" s="142">
        <v>28.68</v>
      </c>
      <c r="I261" s="143">
        <v>256.7</v>
      </c>
      <c r="J261" s="144">
        <f>ROUND(I261*H261,2)</f>
        <v>7362.16</v>
      </c>
      <c r="K261" s="140" t="s">
        <v>190</v>
      </c>
      <c r="L261" s="33"/>
      <c r="M261" s="145" t="s">
        <v>1</v>
      </c>
      <c r="N261" s="146" t="s">
        <v>47</v>
      </c>
      <c r="O261" s="147">
        <v>0</v>
      </c>
      <c r="P261" s="147">
        <f>O261*H261</f>
        <v>0</v>
      </c>
      <c r="Q261" s="147">
        <v>0</v>
      </c>
      <c r="R261" s="147">
        <f>Q261*H261</f>
        <v>0</v>
      </c>
      <c r="S261" s="147">
        <v>0</v>
      </c>
      <c r="T261" s="148">
        <f>S261*H261</f>
        <v>0</v>
      </c>
      <c r="AR261" s="149" t="s">
        <v>191</v>
      </c>
      <c r="AT261" s="149" t="s">
        <v>186</v>
      </c>
      <c r="AU261" s="149" t="s">
        <v>20</v>
      </c>
      <c r="AY261" s="18" t="s">
        <v>184</v>
      </c>
      <c r="BE261" s="150">
        <f>IF(N261="základní",J261,0)</f>
        <v>7362.16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8" t="s">
        <v>88</v>
      </c>
      <c r="BK261" s="150">
        <f>ROUND(I261*H261,2)</f>
        <v>7362.16</v>
      </c>
      <c r="BL261" s="18" t="s">
        <v>191</v>
      </c>
      <c r="BM261" s="149" t="s">
        <v>645</v>
      </c>
    </row>
    <row r="262" spans="2:65" s="1" customFormat="1" x14ac:dyDescent="0.3">
      <c r="B262" s="33"/>
      <c r="D262" s="151" t="s">
        <v>193</v>
      </c>
      <c r="F262" s="152" t="s">
        <v>646</v>
      </c>
      <c r="I262" s="153"/>
      <c r="L262" s="33"/>
      <c r="M262" s="154"/>
      <c r="T262" s="57"/>
      <c r="AT262" s="18" t="s">
        <v>193</v>
      </c>
      <c r="AU262" s="18" t="s">
        <v>20</v>
      </c>
    </row>
    <row r="263" spans="2:65" s="12" customFormat="1" ht="11.25" x14ac:dyDescent="0.3">
      <c r="B263" s="155"/>
      <c r="D263" s="156" t="s">
        <v>195</v>
      </c>
      <c r="E263" s="157" t="s">
        <v>1</v>
      </c>
      <c r="F263" s="158" t="s">
        <v>634</v>
      </c>
      <c r="H263" s="159">
        <v>28.68</v>
      </c>
      <c r="I263" s="160"/>
      <c r="L263" s="155"/>
      <c r="M263" s="161"/>
      <c r="T263" s="162"/>
      <c r="AT263" s="157" t="s">
        <v>195</v>
      </c>
      <c r="AU263" s="157" t="s">
        <v>20</v>
      </c>
      <c r="AV263" s="12" t="s">
        <v>20</v>
      </c>
      <c r="AW263" s="12" t="s">
        <v>37</v>
      </c>
      <c r="AX263" s="12" t="s">
        <v>88</v>
      </c>
      <c r="AY263" s="157" t="s">
        <v>184</v>
      </c>
    </row>
    <row r="264" spans="2:65" s="1" customFormat="1" ht="16.5" customHeight="1" x14ac:dyDescent="0.3">
      <c r="B264" s="33"/>
      <c r="C264" s="138" t="s">
        <v>647</v>
      </c>
      <c r="D264" s="138" t="s">
        <v>186</v>
      </c>
      <c r="E264" s="139" t="s">
        <v>369</v>
      </c>
      <c r="F264" s="140" t="s">
        <v>370</v>
      </c>
      <c r="G264" s="141" t="s">
        <v>248</v>
      </c>
      <c r="H264" s="142">
        <v>294.51499999999999</v>
      </c>
      <c r="I264" s="143">
        <v>305.44</v>
      </c>
      <c r="J264" s="144">
        <f>ROUND(I264*H264,2)</f>
        <v>89956.66</v>
      </c>
      <c r="K264" s="140" t="s">
        <v>190</v>
      </c>
      <c r="L264" s="33"/>
      <c r="M264" s="145" t="s">
        <v>1</v>
      </c>
      <c r="N264" s="146" t="s">
        <v>47</v>
      </c>
      <c r="O264" s="147">
        <v>0.376</v>
      </c>
      <c r="P264" s="147">
        <f>O264*H264</f>
        <v>110.73764</v>
      </c>
      <c r="Q264" s="147">
        <v>0</v>
      </c>
      <c r="R264" s="147">
        <f>Q264*H264</f>
        <v>0</v>
      </c>
      <c r="S264" s="147">
        <v>0</v>
      </c>
      <c r="T264" s="148">
        <f>S264*H264</f>
        <v>0</v>
      </c>
      <c r="AR264" s="149" t="s">
        <v>191</v>
      </c>
      <c r="AT264" s="149" t="s">
        <v>186</v>
      </c>
      <c r="AU264" s="149" t="s">
        <v>20</v>
      </c>
      <c r="AY264" s="18" t="s">
        <v>184</v>
      </c>
      <c r="BE264" s="150">
        <f>IF(N264="základní",J264,0)</f>
        <v>89956.66</v>
      </c>
      <c r="BF264" s="150">
        <f>IF(N264="snížená",J264,0)</f>
        <v>0</v>
      </c>
      <c r="BG264" s="150">
        <f>IF(N264="zákl. přenesená",J264,0)</f>
        <v>0</v>
      </c>
      <c r="BH264" s="150">
        <f>IF(N264="sníž. přenesená",J264,0)</f>
        <v>0</v>
      </c>
      <c r="BI264" s="150">
        <f>IF(N264="nulová",J264,0)</f>
        <v>0</v>
      </c>
      <c r="BJ264" s="18" t="s">
        <v>88</v>
      </c>
      <c r="BK264" s="150">
        <f>ROUND(I264*H264,2)</f>
        <v>89956.66</v>
      </c>
      <c r="BL264" s="18" t="s">
        <v>191</v>
      </c>
      <c r="BM264" s="149" t="s">
        <v>648</v>
      </c>
    </row>
    <row r="265" spans="2:65" s="1" customFormat="1" x14ac:dyDescent="0.3">
      <c r="B265" s="33"/>
      <c r="D265" s="151" t="s">
        <v>193</v>
      </c>
      <c r="F265" s="152" t="s">
        <v>372</v>
      </c>
      <c r="I265" s="153"/>
      <c r="L265" s="33"/>
      <c r="M265" s="154"/>
      <c r="T265" s="57"/>
      <c r="AT265" s="18" t="s">
        <v>193</v>
      </c>
      <c r="AU265" s="18" t="s">
        <v>20</v>
      </c>
    </row>
    <row r="266" spans="2:65" s="12" customFormat="1" ht="11.25" x14ac:dyDescent="0.3">
      <c r="B266" s="155"/>
      <c r="D266" s="156" t="s">
        <v>195</v>
      </c>
      <c r="E266" s="157" t="s">
        <v>1</v>
      </c>
      <c r="F266" s="158" t="s">
        <v>649</v>
      </c>
      <c r="H266" s="159">
        <v>294.51499999999999</v>
      </c>
      <c r="I266" s="160"/>
      <c r="L266" s="155"/>
      <c r="M266" s="161"/>
      <c r="T266" s="162"/>
      <c r="AT266" s="157" t="s">
        <v>195</v>
      </c>
      <c r="AU266" s="157" t="s">
        <v>20</v>
      </c>
      <c r="AV266" s="12" t="s">
        <v>20</v>
      </c>
      <c r="AW266" s="12" t="s">
        <v>37</v>
      </c>
      <c r="AX266" s="12" t="s">
        <v>88</v>
      </c>
      <c r="AY266" s="157" t="s">
        <v>184</v>
      </c>
    </row>
    <row r="267" spans="2:65" s="11" customFormat="1" ht="22.9" customHeight="1" x14ac:dyDescent="0.2">
      <c r="B267" s="127"/>
      <c r="D267" s="128" t="s">
        <v>80</v>
      </c>
      <c r="E267" s="136" t="s">
        <v>374</v>
      </c>
      <c r="F267" s="136" t="s">
        <v>375</v>
      </c>
      <c r="I267" s="171"/>
      <c r="J267" s="137">
        <f>BK267</f>
        <v>101202.66</v>
      </c>
      <c r="L267" s="127"/>
      <c r="M267" s="131"/>
      <c r="P267" s="132">
        <f>SUM(P268:P269)</f>
        <v>43.736088000000002</v>
      </c>
      <c r="R267" s="132">
        <f>SUM(R268:R269)</f>
        <v>0</v>
      </c>
      <c r="T267" s="133">
        <f>SUM(T268:T269)</f>
        <v>0</v>
      </c>
      <c r="AR267" s="128" t="s">
        <v>88</v>
      </c>
      <c r="AT267" s="134" t="s">
        <v>80</v>
      </c>
      <c r="AU267" s="134" t="s">
        <v>88</v>
      </c>
      <c r="AY267" s="128" t="s">
        <v>184</v>
      </c>
      <c r="BK267" s="135">
        <f>SUM(BK268:BK269)</f>
        <v>101202.66</v>
      </c>
    </row>
    <row r="268" spans="2:65" s="1" customFormat="1" ht="21.75" customHeight="1" x14ac:dyDescent="0.3">
      <c r="B268" s="33"/>
      <c r="C268" s="138" t="s">
        <v>650</v>
      </c>
      <c r="D268" s="138" t="s">
        <v>186</v>
      </c>
      <c r="E268" s="139" t="s">
        <v>651</v>
      </c>
      <c r="F268" s="140" t="s">
        <v>652</v>
      </c>
      <c r="G268" s="141" t="s">
        <v>248</v>
      </c>
      <c r="H268" s="142">
        <v>662.66800000000001</v>
      </c>
      <c r="I268" s="143">
        <v>152.72</v>
      </c>
      <c r="J268" s="144">
        <f>ROUND(I268*H268,2)</f>
        <v>101202.66</v>
      </c>
      <c r="K268" s="140" t="s">
        <v>190</v>
      </c>
      <c r="L268" s="33"/>
      <c r="M268" s="145" t="s">
        <v>1</v>
      </c>
      <c r="N268" s="146" t="s">
        <v>47</v>
      </c>
      <c r="O268" s="147">
        <v>6.6000000000000003E-2</v>
      </c>
      <c r="P268" s="147">
        <f>O268*H268</f>
        <v>43.736088000000002</v>
      </c>
      <c r="Q268" s="147">
        <v>0</v>
      </c>
      <c r="R268" s="147">
        <f>Q268*H268</f>
        <v>0</v>
      </c>
      <c r="S268" s="147">
        <v>0</v>
      </c>
      <c r="T268" s="148">
        <f>S268*H268</f>
        <v>0</v>
      </c>
      <c r="AR268" s="149" t="s">
        <v>191</v>
      </c>
      <c r="AT268" s="149" t="s">
        <v>186</v>
      </c>
      <c r="AU268" s="149" t="s">
        <v>20</v>
      </c>
      <c r="AY268" s="18" t="s">
        <v>184</v>
      </c>
      <c r="BE268" s="150">
        <f>IF(N268="základní",J268,0)</f>
        <v>101202.66</v>
      </c>
      <c r="BF268" s="150">
        <f>IF(N268="snížená",J268,0)</f>
        <v>0</v>
      </c>
      <c r="BG268" s="150">
        <f>IF(N268="zákl. přenesená",J268,0)</f>
        <v>0</v>
      </c>
      <c r="BH268" s="150">
        <f>IF(N268="sníž. přenesená",J268,0)</f>
        <v>0</v>
      </c>
      <c r="BI268" s="150">
        <f>IF(N268="nulová",J268,0)</f>
        <v>0</v>
      </c>
      <c r="BJ268" s="18" t="s">
        <v>88</v>
      </c>
      <c r="BK268" s="150">
        <f>ROUND(I268*H268,2)</f>
        <v>101202.66</v>
      </c>
      <c r="BL268" s="18" t="s">
        <v>191</v>
      </c>
      <c r="BM268" s="149" t="s">
        <v>653</v>
      </c>
    </row>
    <row r="269" spans="2:65" s="1" customFormat="1" x14ac:dyDescent="0.3">
      <c r="B269" s="33"/>
      <c r="D269" s="151" t="s">
        <v>193</v>
      </c>
      <c r="F269" s="152" t="s">
        <v>654</v>
      </c>
      <c r="I269" s="153"/>
      <c r="L269" s="33"/>
      <c r="M269" s="189"/>
      <c r="N269" s="190"/>
      <c r="O269" s="190"/>
      <c r="P269" s="190"/>
      <c r="Q269" s="190"/>
      <c r="R269" s="190"/>
      <c r="S269" s="190"/>
      <c r="T269" s="191"/>
      <c r="AT269" s="18" t="s">
        <v>193</v>
      </c>
      <c r="AU269" s="18" t="s">
        <v>20</v>
      </c>
    </row>
    <row r="270" spans="2:65" s="1" customFormat="1" ht="6.95" customHeight="1" x14ac:dyDescent="0.3">
      <c r="B270" s="45"/>
      <c r="C270" s="46"/>
      <c r="D270" s="46"/>
      <c r="E270" s="46"/>
      <c r="F270" s="46"/>
      <c r="G270" s="46"/>
      <c r="H270" s="46"/>
      <c r="I270" s="188"/>
      <c r="J270" s="46"/>
      <c r="K270" s="46"/>
      <c r="L270" s="33"/>
    </row>
  </sheetData>
  <sheetProtection sheet="1" objects="1" scenarios="1"/>
  <autoFilter ref="C121:K269" xr:uid="{1124433E-B23A-4D59-B0F1-7D765BA54A44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hyperlinks>
    <hyperlink ref="F126" r:id="rId1" xr:uid="{31F476AD-01E5-4174-98C7-B9614AABA681}"/>
    <hyperlink ref="F133" r:id="rId2" xr:uid="{32507D6B-8E47-4180-9337-1E22172D7073}"/>
    <hyperlink ref="F140" r:id="rId3" xr:uid="{48CDC75F-CC6F-4E62-ADC9-67C4E6E8FC0E}"/>
    <hyperlink ref="F147" r:id="rId4" xr:uid="{57BC1888-530E-4525-BA5C-2FC99F208CF7}"/>
    <hyperlink ref="F153" r:id="rId5" xr:uid="{B263B1BC-BA65-482E-926D-D387EE854A1C}"/>
    <hyperlink ref="F156" r:id="rId6" xr:uid="{E4311C05-616C-4B49-8BC7-9DD57D315133}"/>
    <hyperlink ref="F159" r:id="rId7" xr:uid="{4C7F4612-9CA1-4AD6-9B91-B90ED7A2ADE2}"/>
    <hyperlink ref="F166" r:id="rId8" xr:uid="{9AC1853C-6F17-4962-B635-39ACB9ED3754}"/>
    <hyperlink ref="F171" r:id="rId9" xr:uid="{78D877D3-DB94-4366-9906-AFC8E6DCAB68}"/>
    <hyperlink ref="F186" r:id="rId10" xr:uid="{2D0D35C7-91B5-4E3A-9924-F8D365C678F8}"/>
    <hyperlink ref="F195" r:id="rId11" xr:uid="{482EF81D-BE87-4F69-A6FA-94312E1DB4EB}"/>
    <hyperlink ref="F200" r:id="rId12" xr:uid="{7DBC6FE5-2215-4592-944C-6916704DD419}"/>
    <hyperlink ref="F203" r:id="rId13" xr:uid="{F4C0430F-A052-4CC4-BF43-D716386964C5}"/>
    <hyperlink ref="F206" r:id="rId14" xr:uid="{0EFAB003-9EEA-48CC-AED0-28B947D28186}"/>
    <hyperlink ref="F208" r:id="rId15" xr:uid="{5CC0A213-ECCF-4C9D-9040-C52D7B9149E3}"/>
    <hyperlink ref="F210" r:id="rId16" xr:uid="{C6D2F6AE-2938-456F-A63E-8185FF2B509C}"/>
    <hyperlink ref="F239" r:id="rId17" xr:uid="{3DD1BA6F-E60D-49FE-8E3E-901F866D952E}"/>
    <hyperlink ref="F241" r:id="rId18" xr:uid="{DC44DF16-3B8E-42C6-99D3-61C663CD7E76}"/>
    <hyperlink ref="F243" r:id="rId19" xr:uid="{1055C0DB-0136-4DC8-B4E4-41CA3E28039F}"/>
    <hyperlink ref="F251" r:id="rId20" xr:uid="{8194AB85-86BB-4DEE-BFC8-9895EA83D621}"/>
    <hyperlink ref="F257" r:id="rId21" xr:uid="{22A30892-1CE2-454C-9269-0AAB26AA2DEE}"/>
    <hyperlink ref="F262" r:id="rId22" xr:uid="{0624F89E-E96F-44C6-8FC8-3BFC1F2204A3}"/>
    <hyperlink ref="F265" r:id="rId23" xr:uid="{BE821268-860F-47D0-A1A1-D67704DDC47E}"/>
    <hyperlink ref="F269" r:id="rId24" xr:uid="{699C1FD7-9D00-4199-81D7-9728F69AAC9C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6D287-D2D0-49A2-AB10-E67A17E97E11}">
  <sheetPr>
    <tabColor indexed="42"/>
    <pageSetUpPr fitToPage="1"/>
  </sheetPr>
  <dimension ref="B2:BM129"/>
  <sheetViews>
    <sheetView showGridLines="0" zoomScaleNormal="100" workbookViewId="0">
      <selection activeCell="I128" sqref="I128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98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655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154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ROUND(J119, 2)</f>
        <v>13885.07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ROUND((SUM(BE119:BE128)),  2)</f>
        <v>13885.07</v>
      </c>
      <c r="I33" s="99">
        <v>0.21</v>
      </c>
      <c r="J33" s="98">
        <f>ROUND(((SUM(BE119:BE128))*I33),  2)</f>
        <v>2915.86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ROUND((SUM(BF119:BF128)),  2)</f>
        <v>0</v>
      </c>
      <c r="I34" s="99">
        <v>0.15</v>
      </c>
      <c r="J34" s="98">
        <f>ROUND(((SUM(BF119:BF128))*I34),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ROUND((SUM(BG119:BG128)),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ROUND((SUM(BH119:BH128)),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ROUND((SUM(BI119:BI128)),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16800.93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105.I - Místa pro předcházení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J119</f>
        <v>13885.07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160</v>
      </c>
      <c r="E97" s="113"/>
      <c r="F97" s="113"/>
      <c r="G97" s="113"/>
      <c r="H97" s="113"/>
      <c r="I97" s="113"/>
      <c r="J97" s="114">
        <f>J120</f>
        <v>13885.07</v>
      </c>
      <c r="L97" s="111"/>
    </row>
    <row r="98" spans="2:12" s="9" customFormat="1" ht="19.899999999999999" customHeight="1" x14ac:dyDescent="0.3">
      <c r="B98" s="115"/>
      <c r="D98" s="116" t="s">
        <v>163</v>
      </c>
      <c r="E98" s="117"/>
      <c r="F98" s="117"/>
      <c r="G98" s="117"/>
      <c r="H98" s="117"/>
      <c r="I98" s="117"/>
      <c r="J98" s="118">
        <f>J121</f>
        <v>13875.86</v>
      </c>
      <c r="L98" s="115"/>
    </row>
    <row r="99" spans="2:12" s="9" customFormat="1" ht="19.899999999999999" customHeight="1" x14ac:dyDescent="0.3">
      <c r="B99" s="115"/>
      <c r="D99" s="116" t="s">
        <v>165</v>
      </c>
      <c r="E99" s="117"/>
      <c r="F99" s="117"/>
      <c r="G99" s="117"/>
      <c r="H99" s="117"/>
      <c r="I99" s="117"/>
      <c r="J99" s="118">
        <f>J127</f>
        <v>9.2100000000000009</v>
      </c>
      <c r="L99" s="115"/>
    </row>
    <row r="100" spans="2:12" s="1" customFormat="1" ht="21.75" customHeight="1" x14ac:dyDescent="0.3">
      <c r="B100" s="33"/>
      <c r="L100" s="33"/>
    </row>
    <row r="101" spans="2:12" s="1" customFormat="1" ht="6.95" customHeight="1" x14ac:dyDescent="0.3"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33"/>
    </row>
    <row r="105" spans="2:12" s="1" customFormat="1" ht="6.95" customHeight="1" x14ac:dyDescent="0.3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3"/>
    </row>
    <row r="106" spans="2:12" s="1" customFormat="1" ht="24.95" customHeight="1" x14ac:dyDescent="0.3">
      <c r="B106" s="33"/>
      <c r="C106" s="22" t="s">
        <v>168</v>
      </c>
      <c r="L106" s="33"/>
    </row>
    <row r="107" spans="2:12" s="1" customFormat="1" ht="6.95" customHeight="1" x14ac:dyDescent="0.3">
      <c r="B107" s="33"/>
      <c r="L107" s="33"/>
    </row>
    <row r="108" spans="2:12" s="1" customFormat="1" ht="12" customHeight="1" x14ac:dyDescent="0.3">
      <c r="B108" s="33"/>
      <c r="C108" s="28" t="s">
        <v>15</v>
      </c>
      <c r="L108" s="33"/>
    </row>
    <row r="109" spans="2:12" s="1" customFormat="1" ht="16.5" customHeight="1" x14ac:dyDescent="0.3">
      <c r="B109" s="33"/>
      <c r="E109" s="324" t="str">
        <f>E7</f>
        <v>Obnova ulice Tyršova, Dobrovice - I. etapa</v>
      </c>
      <c r="F109" s="325"/>
      <c r="G109" s="325"/>
      <c r="H109" s="325"/>
      <c r="L109" s="33"/>
    </row>
    <row r="110" spans="2:12" s="1" customFormat="1" ht="12" customHeight="1" x14ac:dyDescent="0.3">
      <c r="B110" s="33"/>
      <c r="C110" s="28" t="s">
        <v>152</v>
      </c>
      <c r="L110" s="33"/>
    </row>
    <row r="111" spans="2:12" s="1" customFormat="1" ht="16.5" customHeight="1" x14ac:dyDescent="0.3">
      <c r="B111" s="33"/>
      <c r="E111" s="308" t="str">
        <f>E9</f>
        <v>SO 105.I - Místa pro předcházení I. etapa</v>
      </c>
      <c r="F111" s="326"/>
      <c r="G111" s="326"/>
      <c r="H111" s="326"/>
      <c r="L111" s="33"/>
    </row>
    <row r="112" spans="2:12" s="1" customFormat="1" ht="6.95" customHeight="1" x14ac:dyDescent="0.3">
      <c r="B112" s="33"/>
      <c r="L112" s="33"/>
    </row>
    <row r="113" spans="2:65" s="1" customFormat="1" ht="12" customHeight="1" x14ac:dyDescent="0.3">
      <c r="B113" s="33"/>
      <c r="C113" s="28" t="s">
        <v>21</v>
      </c>
      <c r="F113" s="26" t="str">
        <f>F12</f>
        <v>Dobrovice</v>
      </c>
      <c r="I113" s="28" t="s">
        <v>23</v>
      </c>
      <c r="J113" s="53">
        <f>IF(J12="","",J12)</f>
        <v>45678</v>
      </c>
      <c r="L113" s="33"/>
    </row>
    <row r="114" spans="2:65" s="1" customFormat="1" ht="6.95" customHeight="1" x14ac:dyDescent="0.3">
      <c r="B114" s="33"/>
      <c r="L114" s="33"/>
    </row>
    <row r="115" spans="2:65" s="1" customFormat="1" ht="25.7" customHeight="1" x14ac:dyDescent="0.3">
      <c r="B115" s="33"/>
      <c r="C115" s="28" t="s">
        <v>28</v>
      </c>
      <c r="F115" s="26" t="str">
        <f>E15</f>
        <v>Město Dobrovice, Palckého nám. 28, 294 41</v>
      </c>
      <c r="I115" s="28" t="s">
        <v>34</v>
      </c>
      <c r="J115" s="96" t="str">
        <f>E21</f>
        <v>Ing. arch. Martin Jirovský Ph.D., MBA</v>
      </c>
      <c r="L115" s="33"/>
    </row>
    <row r="116" spans="2:65" s="1" customFormat="1" ht="40.15" customHeight="1" x14ac:dyDescent="0.3">
      <c r="B116" s="33"/>
      <c r="C116" s="28" t="s">
        <v>33</v>
      </c>
      <c r="F116" s="26">
        <f>IF(E18="","",E18)</f>
        <v>0</v>
      </c>
      <c r="I116" s="28" t="s">
        <v>38</v>
      </c>
      <c r="J116" s="96" t="str">
        <f>E24</f>
        <v>ROAD M.A.A.T. s.r.o., Petra Stejskalová</v>
      </c>
      <c r="L116" s="33"/>
    </row>
    <row r="117" spans="2:65" s="1" customFormat="1" ht="10.35" customHeight="1" x14ac:dyDescent="0.3">
      <c r="B117" s="33"/>
      <c r="L117" s="33"/>
    </row>
    <row r="118" spans="2:65" s="10" customFormat="1" ht="29.25" customHeight="1" x14ac:dyDescent="0.3">
      <c r="B118" s="119"/>
      <c r="C118" s="120" t="s">
        <v>169</v>
      </c>
      <c r="D118" s="121" t="s">
        <v>66</v>
      </c>
      <c r="E118" s="121" t="s">
        <v>63</v>
      </c>
      <c r="F118" s="121" t="s">
        <v>170</v>
      </c>
      <c r="G118" s="121" t="s">
        <v>171</v>
      </c>
      <c r="H118" s="121" t="s">
        <v>172</v>
      </c>
      <c r="I118" s="121" t="s">
        <v>173</v>
      </c>
      <c r="J118" s="121" t="s">
        <v>157</v>
      </c>
      <c r="K118" s="122" t="s">
        <v>174</v>
      </c>
      <c r="L118" s="119"/>
      <c r="M118" s="60" t="s">
        <v>1</v>
      </c>
      <c r="N118" s="61" t="s">
        <v>46</v>
      </c>
      <c r="O118" s="61" t="s">
        <v>175</v>
      </c>
      <c r="P118" s="61" t="s">
        <v>176</v>
      </c>
      <c r="Q118" s="61" t="s">
        <v>177</v>
      </c>
      <c r="R118" s="61" t="s">
        <v>178</v>
      </c>
      <c r="S118" s="61" t="s">
        <v>179</v>
      </c>
      <c r="T118" s="62" t="s">
        <v>180</v>
      </c>
    </row>
    <row r="119" spans="2:65" s="1" customFormat="1" ht="22.9" customHeight="1" x14ac:dyDescent="0.25">
      <c r="B119" s="33"/>
      <c r="C119" s="65" t="s">
        <v>181</v>
      </c>
      <c r="J119" s="123">
        <f>BK119</f>
        <v>13885.07</v>
      </c>
      <c r="L119" s="33"/>
      <c r="M119" s="63"/>
      <c r="N119" s="54"/>
      <c r="O119" s="54"/>
      <c r="P119" s="124">
        <f>P120</f>
        <v>2.597915</v>
      </c>
      <c r="Q119" s="54"/>
      <c r="R119" s="124">
        <f>R120</f>
        <v>3.0799999999999998E-3</v>
      </c>
      <c r="S119" s="54"/>
      <c r="T119" s="125">
        <f>T120</f>
        <v>3.3000000000000002E-2</v>
      </c>
      <c r="AT119" s="18" t="s">
        <v>80</v>
      </c>
      <c r="AU119" s="18" t="s">
        <v>159</v>
      </c>
      <c r="BK119" s="126">
        <f>BK120</f>
        <v>13885.07</v>
      </c>
    </row>
    <row r="120" spans="2:65" s="11" customFormat="1" ht="25.9" customHeight="1" x14ac:dyDescent="0.2">
      <c r="B120" s="127"/>
      <c r="D120" s="128" t="s">
        <v>80</v>
      </c>
      <c r="E120" s="129" t="s">
        <v>182</v>
      </c>
      <c r="F120" s="129" t="s">
        <v>183</v>
      </c>
      <c r="J120" s="130">
        <f>BK120</f>
        <v>13885.07</v>
      </c>
      <c r="L120" s="127"/>
      <c r="M120" s="131"/>
      <c r="P120" s="132">
        <f>P121+P127</f>
        <v>2.597915</v>
      </c>
      <c r="R120" s="132">
        <f>R121+R127</f>
        <v>3.0799999999999998E-3</v>
      </c>
      <c r="T120" s="133">
        <f>T121+T127</f>
        <v>3.3000000000000002E-2</v>
      </c>
      <c r="AR120" s="128" t="s">
        <v>88</v>
      </c>
      <c r="AT120" s="134" t="s">
        <v>80</v>
      </c>
      <c r="AU120" s="134" t="s">
        <v>81</v>
      </c>
      <c r="AY120" s="128" t="s">
        <v>184</v>
      </c>
      <c r="BK120" s="135">
        <f>BK121+BK127</f>
        <v>13885.07</v>
      </c>
    </row>
    <row r="121" spans="2:65" s="11" customFormat="1" ht="22.9" customHeight="1" x14ac:dyDescent="0.2">
      <c r="B121" s="127"/>
      <c r="D121" s="128" t="s">
        <v>80</v>
      </c>
      <c r="E121" s="136" t="s">
        <v>245</v>
      </c>
      <c r="F121" s="136" t="s">
        <v>304</v>
      </c>
      <c r="J121" s="137">
        <f>BK121</f>
        <v>13875.86</v>
      </c>
      <c r="L121" s="127"/>
      <c r="M121" s="131"/>
      <c r="P121" s="132">
        <f>SUM(P122:P126)</f>
        <v>2.5949</v>
      </c>
      <c r="R121" s="132">
        <f>SUM(R122:R126)</f>
        <v>3.0799999999999998E-3</v>
      </c>
      <c r="T121" s="133">
        <f>SUM(T122:T126)</f>
        <v>3.3000000000000002E-2</v>
      </c>
      <c r="AR121" s="128" t="s">
        <v>88</v>
      </c>
      <c r="AT121" s="134" t="s">
        <v>80</v>
      </c>
      <c r="AU121" s="134" t="s">
        <v>88</v>
      </c>
      <c r="AY121" s="128" t="s">
        <v>184</v>
      </c>
      <c r="BK121" s="135">
        <f>SUM(BK122:BK126)</f>
        <v>13875.86</v>
      </c>
    </row>
    <row r="122" spans="2:65" s="1" customFormat="1" ht="16.5" customHeight="1" x14ac:dyDescent="0.3">
      <c r="B122" s="33"/>
      <c r="C122" s="138" t="s">
        <v>88</v>
      </c>
      <c r="D122" s="138" t="s">
        <v>186</v>
      </c>
      <c r="E122" s="139" t="s">
        <v>656</v>
      </c>
      <c r="F122" s="140" t="s">
        <v>657</v>
      </c>
      <c r="G122" s="141" t="s">
        <v>210</v>
      </c>
      <c r="H122" s="142">
        <v>22</v>
      </c>
      <c r="I122" s="143">
        <v>610.87</v>
      </c>
      <c r="J122" s="144">
        <f>ROUND(I122*H122,2)</f>
        <v>13439.14</v>
      </c>
      <c r="K122" s="140" t="s">
        <v>658</v>
      </c>
      <c r="L122" s="33"/>
      <c r="M122" s="145" t="s">
        <v>1</v>
      </c>
      <c r="N122" s="146" t="s">
        <v>47</v>
      </c>
      <c r="O122" s="147">
        <v>0.1</v>
      </c>
      <c r="P122" s="147">
        <f>O122*H122</f>
        <v>2.2000000000000002</v>
      </c>
      <c r="Q122" s="147">
        <v>1.3999999999999999E-4</v>
      </c>
      <c r="R122" s="147">
        <f>Q122*H122</f>
        <v>3.0799999999999998E-3</v>
      </c>
      <c r="S122" s="147">
        <v>0</v>
      </c>
      <c r="T122" s="148">
        <f>S122*H122</f>
        <v>0</v>
      </c>
      <c r="AR122" s="149" t="s">
        <v>191</v>
      </c>
      <c r="AT122" s="149" t="s">
        <v>186</v>
      </c>
      <c r="AU122" s="149" t="s">
        <v>20</v>
      </c>
      <c r="AY122" s="18" t="s">
        <v>184</v>
      </c>
      <c r="BE122" s="150">
        <f>IF(N122="základní",J122,0)</f>
        <v>13439.14</v>
      </c>
      <c r="BF122" s="150">
        <f>IF(N122="snížená",J122,0)</f>
        <v>0</v>
      </c>
      <c r="BG122" s="150">
        <f>IF(N122="zákl. přenesená",J122,0)</f>
        <v>0</v>
      </c>
      <c r="BH122" s="150">
        <f>IF(N122="sníž. přenesená",J122,0)</f>
        <v>0</v>
      </c>
      <c r="BI122" s="150">
        <f>IF(N122="nulová",J122,0)</f>
        <v>0</v>
      </c>
      <c r="BJ122" s="18" t="s">
        <v>88</v>
      </c>
      <c r="BK122" s="150">
        <f>ROUND(I122*H122,2)</f>
        <v>13439.14</v>
      </c>
      <c r="BL122" s="18" t="s">
        <v>191</v>
      </c>
      <c r="BM122" s="149" t="s">
        <v>659</v>
      </c>
    </row>
    <row r="123" spans="2:65" s="12" customFormat="1" ht="11.25" x14ac:dyDescent="0.3">
      <c r="B123" s="155"/>
      <c r="D123" s="156" t="s">
        <v>195</v>
      </c>
      <c r="E123" s="157" t="s">
        <v>1</v>
      </c>
      <c r="F123" s="158" t="s">
        <v>660</v>
      </c>
      <c r="H123" s="159">
        <v>22</v>
      </c>
      <c r="I123" s="160"/>
      <c r="L123" s="155"/>
      <c r="M123" s="161"/>
      <c r="T123" s="162"/>
      <c r="AT123" s="157" t="s">
        <v>195</v>
      </c>
      <c r="AU123" s="157" t="s">
        <v>20</v>
      </c>
      <c r="AV123" s="12" t="s">
        <v>20</v>
      </c>
      <c r="AW123" s="12" t="s">
        <v>37</v>
      </c>
      <c r="AX123" s="12" t="s">
        <v>88</v>
      </c>
      <c r="AY123" s="157" t="s">
        <v>184</v>
      </c>
    </row>
    <row r="124" spans="2:65" s="1" customFormat="1" ht="16.5" customHeight="1" x14ac:dyDescent="0.3">
      <c r="B124" s="33"/>
      <c r="C124" s="138" t="s">
        <v>20</v>
      </c>
      <c r="D124" s="138" t="s">
        <v>186</v>
      </c>
      <c r="E124" s="139" t="s">
        <v>463</v>
      </c>
      <c r="F124" s="140" t="s">
        <v>464</v>
      </c>
      <c r="G124" s="141" t="s">
        <v>210</v>
      </c>
      <c r="H124" s="142">
        <v>22</v>
      </c>
      <c r="I124" s="143">
        <v>15.27</v>
      </c>
      <c r="J124" s="144">
        <f>ROUND(I124*H124,2)</f>
        <v>335.94</v>
      </c>
      <c r="K124" s="140" t="s">
        <v>658</v>
      </c>
      <c r="L124" s="33"/>
      <c r="M124" s="145" t="s">
        <v>1</v>
      </c>
      <c r="N124" s="146" t="s">
        <v>47</v>
      </c>
      <c r="O124" s="147">
        <v>1.6E-2</v>
      </c>
      <c r="P124" s="147">
        <f>O124*H124</f>
        <v>0.35199999999999998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AR124" s="149" t="s">
        <v>191</v>
      </c>
      <c r="AT124" s="149" t="s">
        <v>186</v>
      </c>
      <c r="AU124" s="149" t="s">
        <v>20</v>
      </c>
      <c r="AY124" s="18" t="s">
        <v>184</v>
      </c>
      <c r="BE124" s="150">
        <f>IF(N124="základní",J124,0)</f>
        <v>335.94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8" t="s">
        <v>88</v>
      </c>
      <c r="BK124" s="150">
        <f>ROUND(I124*H124,2)</f>
        <v>335.94</v>
      </c>
      <c r="BL124" s="18" t="s">
        <v>191</v>
      </c>
      <c r="BM124" s="149" t="s">
        <v>661</v>
      </c>
    </row>
    <row r="125" spans="2:65" s="1" customFormat="1" ht="16.5" customHeight="1" x14ac:dyDescent="0.3">
      <c r="B125" s="33"/>
      <c r="C125" s="138" t="s">
        <v>202</v>
      </c>
      <c r="D125" s="138" t="s">
        <v>186</v>
      </c>
      <c r="E125" s="139" t="s">
        <v>478</v>
      </c>
      <c r="F125" s="140" t="s">
        <v>479</v>
      </c>
      <c r="G125" s="141" t="s">
        <v>189</v>
      </c>
      <c r="H125" s="142">
        <v>3.3</v>
      </c>
      <c r="I125" s="143">
        <v>30.54</v>
      </c>
      <c r="J125" s="144">
        <f>ROUND(I125*H125,2)</f>
        <v>100.78</v>
      </c>
      <c r="K125" s="140" t="s">
        <v>658</v>
      </c>
      <c r="L125" s="33"/>
      <c r="M125" s="145" t="s">
        <v>1</v>
      </c>
      <c r="N125" s="146" t="s">
        <v>47</v>
      </c>
      <c r="O125" s="147">
        <v>1.2999999999999999E-2</v>
      </c>
      <c r="P125" s="147">
        <f>O125*H125</f>
        <v>4.2899999999999994E-2</v>
      </c>
      <c r="Q125" s="147">
        <v>0</v>
      </c>
      <c r="R125" s="147">
        <f>Q125*H125</f>
        <v>0</v>
      </c>
      <c r="S125" s="147">
        <v>0.01</v>
      </c>
      <c r="T125" s="148">
        <f>S125*H125</f>
        <v>3.3000000000000002E-2</v>
      </c>
      <c r="AR125" s="149" t="s">
        <v>191</v>
      </c>
      <c r="AT125" s="149" t="s">
        <v>186</v>
      </c>
      <c r="AU125" s="149" t="s">
        <v>20</v>
      </c>
      <c r="AY125" s="18" t="s">
        <v>184</v>
      </c>
      <c r="BE125" s="150">
        <f>IF(N125="základní",J125,0)</f>
        <v>100.78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8" t="s">
        <v>88</v>
      </c>
      <c r="BK125" s="150">
        <f>ROUND(I125*H125,2)</f>
        <v>100.78</v>
      </c>
      <c r="BL125" s="18" t="s">
        <v>191</v>
      </c>
      <c r="BM125" s="149" t="s">
        <v>662</v>
      </c>
    </row>
    <row r="126" spans="2:65" s="12" customFormat="1" ht="11.25" x14ac:dyDescent="0.3">
      <c r="B126" s="155"/>
      <c r="D126" s="156" t="s">
        <v>195</v>
      </c>
      <c r="E126" s="157" t="s">
        <v>1</v>
      </c>
      <c r="F126" s="158" t="s">
        <v>663</v>
      </c>
      <c r="H126" s="159">
        <v>3.3</v>
      </c>
      <c r="I126" s="160"/>
      <c r="L126" s="155"/>
      <c r="M126" s="161"/>
      <c r="T126" s="162"/>
      <c r="AT126" s="157" t="s">
        <v>195</v>
      </c>
      <c r="AU126" s="157" t="s">
        <v>20</v>
      </c>
      <c r="AV126" s="12" t="s">
        <v>20</v>
      </c>
      <c r="AW126" s="12" t="s">
        <v>37</v>
      </c>
      <c r="AX126" s="12" t="s">
        <v>88</v>
      </c>
      <c r="AY126" s="157" t="s">
        <v>184</v>
      </c>
    </row>
    <row r="127" spans="2:65" s="11" customFormat="1" ht="22.9" customHeight="1" x14ac:dyDescent="0.2">
      <c r="B127" s="127"/>
      <c r="D127" s="128" t="s">
        <v>80</v>
      </c>
      <c r="E127" s="136" t="s">
        <v>374</v>
      </c>
      <c r="F127" s="136" t="s">
        <v>375</v>
      </c>
      <c r="I127" s="171"/>
      <c r="J127" s="137">
        <f>BK127</f>
        <v>9.2100000000000009</v>
      </c>
      <c r="L127" s="127"/>
      <c r="M127" s="131"/>
      <c r="P127" s="132">
        <f>P128</f>
        <v>3.0149999999999999E-3</v>
      </c>
      <c r="R127" s="132">
        <f>R128</f>
        <v>0</v>
      </c>
      <c r="T127" s="133">
        <f>T128</f>
        <v>0</v>
      </c>
      <c r="AR127" s="128" t="s">
        <v>88</v>
      </c>
      <c r="AT127" s="134" t="s">
        <v>80</v>
      </c>
      <c r="AU127" s="134" t="s">
        <v>88</v>
      </c>
      <c r="AY127" s="128" t="s">
        <v>184</v>
      </c>
      <c r="BK127" s="135">
        <f>BK128</f>
        <v>9.2100000000000009</v>
      </c>
    </row>
    <row r="128" spans="2:65" s="1" customFormat="1" ht="21.75" customHeight="1" x14ac:dyDescent="0.3">
      <c r="B128" s="33"/>
      <c r="C128" s="138" t="s">
        <v>191</v>
      </c>
      <c r="D128" s="138" t="s">
        <v>186</v>
      </c>
      <c r="E128" s="139" t="s">
        <v>664</v>
      </c>
      <c r="F128" s="140" t="s">
        <v>665</v>
      </c>
      <c r="G128" s="141" t="s">
        <v>248</v>
      </c>
      <c r="H128" s="142">
        <v>3.0000000000000001E-3</v>
      </c>
      <c r="I128" s="143">
        <v>3069.16</v>
      </c>
      <c r="J128" s="144">
        <f>ROUND(I128*H128,2)</f>
        <v>9.2100000000000009</v>
      </c>
      <c r="K128" s="140" t="s">
        <v>658</v>
      </c>
      <c r="L128" s="33"/>
      <c r="M128" s="184" t="s">
        <v>1</v>
      </c>
      <c r="N128" s="185" t="s">
        <v>47</v>
      </c>
      <c r="O128" s="186">
        <v>1.0049999999999999</v>
      </c>
      <c r="P128" s="186">
        <f>O128*H128</f>
        <v>3.0149999999999999E-3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AR128" s="149" t="s">
        <v>191</v>
      </c>
      <c r="AT128" s="149" t="s">
        <v>186</v>
      </c>
      <c r="AU128" s="149" t="s">
        <v>20</v>
      </c>
      <c r="AY128" s="18" t="s">
        <v>184</v>
      </c>
      <c r="BE128" s="150">
        <f>IF(N128="základní",J128,0)</f>
        <v>9.2100000000000009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9.2100000000000009</v>
      </c>
      <c r="BL128" s="18" t="s">
        <v>191</v>
      </c>
      <c r="BM128" s="149" t="s">
        <v>666</v>
      </c>
    </row>
    <row r="129" spans="2:12" s="1" customFormat="1" ht="6.95" customHeight="1" x14ac:dyDescent="0.3">
      <c r="B129" s="45"/>
      <c r="C129" s="46"/>
      <c r="D129" s="46"/>
      <c r="E129" s="46"/>
      <c r="F129" s="46"/>
      <c r="G129" s="46"/>
      <c r="H129" s="46"/>
      <c r="I129" s="46"/>
      <c r="J129" s="46"/>
      <c r="K129" s="46"/>
      <c r="L129" s="33"/>
    </row>
  </sheetData>
  <sheetProtection sheet="1" objects="1" scenarios="1"/>
  <autoFilter ref="C118:K128" xr:uid="{8353AEF4-2E7B-4FFF-8D73-882F27DD2F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8B4DE-AE58-40D8-A214-EBBC5B4B580A}">
  <sheetPr>
    <tabColor indexed="31"/>
    <pageSetUpPr fitToPage="1"/>
  </sheetPr>
  <dimension ref="B2:BM205"/>
  <sheetViews>
    <sheetView showGridLines="0" zoomScaleNormal="100" workbookViewId="0">
      <selection activeCell="I171" sqref="I171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101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667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154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ROUND(J122, 2)</f>
        <v>507530.33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ROUND((SUM(BE122:BE204)),  2)</f>
        <v>507530.33</v>
      </c>
      <c r="I33" s="99">
        <v>0.21</v>
      </c>
      <c r="J33" s="98">
        <f>ROUND(((SUM(BE122:BE204))*I33),  2)</f>
        <v>106581.37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ROUND((SUM(BF122:BF204)),  2)</f>
        <v>0</v>
      </c>
      <c r="I34" s="99">
        <v>0.15</v>
      </c>
      <c r="J34" s="98">
        <f>ROUND(((SUM(BF122:BF204))*I34),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ROUND((SUM(BG122:BG204)),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ROUND((SUM(BH122:BH204)),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ROUND((SUM(BI122:BI204)),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614111.69999999995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106.I - Stavební úprava sjezdu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J122</f>
        <v>507530.33000000007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160</v>
      </c>
      <c r="E97" s="113"/>
      <c r="F97" s="113"/>
      <c r="G97" s="113"/>
      <c r="H97" s="113"/>
      <c r="I97" s="113"/>
      <c r="J97" s="114">
        <f>J123</f>
        <v>507530.33000000007</v>
      </c>
      <c r="L97" s="111"/>
    </row>
    <row r="98" spans="2:12" s="9" customFormat="1" ht="19.899999999999999" customHeight="1" x14ac:dyDescent="0.3">
      <c r="B98" s="115"/>
      <c r="D98" s="116" t="s">
        <v>161</v>
      </c>
      <c r="E98" s="117"/>
      <c r="F98" s="117"/>
      <c r="G98" s="117"/>
      <c r="H98" s="117"/>
      <c r="I98" s="117"/>
      <c r="J98" s="118">
        <f>J124</f>
        <v>104014.66</v>
      </c>
      <c r="L98" s="115"/>
    </row>
    <row r="99" spans="2:12" s="9" customFormat="1" ht="19.899999999999999" customHeight="1" x14ac:dyDescent="0.3">
      <c r="B99" s="115"/>
      <c r="D99" s="116" t="s">
        <v>162</v>
      </c>
      <c r="E99" s="117"/>
      <c r="F99" s="117"/>
      <c r="G99" s="117"/>
      <c r="H99" s="117"/>
      <c r="I99" s="117"/>
      <c r="J99" s="118">
        <f>J157</f>
        <v>277267.89</v>
      </c>
      <c r="L99" s="115"/>
    </row>
    <row r="100" spans="2:12" s="9" customFormat="1" ht="19.899999999999999" customHeight="1" x14ac:dyDescent="0.3">
      <c r="B100" s="115"/>
      <c r="D100" s="116" t="s">
        <v>163</v>
      </c>
      <c r="E100" s="117"/>
      <c r="F100" s="117"/>
      <c r="G100" s="117"/>
      <c r="H100" s="117"/>
      <c r="I100" s="117"/>
      <c r="J100" s="118">
        <f>J179</f>
        <v>43336.17</v>
      </c>
      <c r="L100" s="115"/>
    </row>
    <row r="101" spans="2:12" s="9" customFormat="1" ht="19.899999999999999" customHeight="1" x14ac:dyDescent="0.3">
      <c r="B101" s="115"/>
      <c r="D101" s="116" t="s">
        <v>164</v>
      </c>
      <c r="E101" s="117"/>
      <c r="F101" s="117"/>
      <c r="G101" s="117"/>
      <c r="H101" s="117"/>
      <c r="I101" s="117"/>
      <c r="J101" s="118">
        <f>J192</f>
        <v>43854.080000000002</v>
      </c>
      <c r="L101" s="115"/>
    </row>
    <row r="102" spans="2:12" s="9" customFormat="1" ht="19.899999999999999" customHeight="1" x14ac:dyDescent="0.3">
      <c r="B102" s="115"/>
      <c r="D102" s="116" t="s">
        <v>165</v>
      </c>
      <c r="E102" s="117"/>
      <c r="F102" s="117"/>
      <c r="G102" s="117"/>
      <c r="H102" s="117"/>
      <c r="I102" s="117"/>
      <c r="J102" s="118">
        <f>J202</f>
        <v>39057.53</v>
      </c>
      <c r="L102" s="115"/>
    </row>
    <row r="103" spans="2:12" s="1" customFormat="1" ht="21.75" customHeight="1" x14ac:dyDescent="0.3">
      <c r="B103" s="33"/>
      <c r="L103" s="33"/>
    </row>
    <row r="104" spans="2:12" s="1" customFormat="1" ht="6.95" customHeight="1" x14ac:dyDescent="0.3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5" customHeight="1" x14ac:dyDescent="0.3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5" customHeight="1" x14ac:dyDescent="0.3">
      <c r="B109" s="33"/>
      <c r="C109" s="22" t="s">
        <v>168</v>
      </c>
      <c r="L109" s="33"/>
    </row>
    <row r="110" spans="2:12" s="1" customFormat="1" ht="6.95" customHeight="1" x14ac:dyDescent="0.3">
      <c r="B110" s="33"/>
      <c r="L110" s="33"/>
    </row>
    <row r="111" spans="2:12" s="1" customFormat="1" ht="12" customHeight="1" x14ac:dyDescent="0.3">
      <c r="B111" s="33"/>
      <c r="C111" s="28" t="s">
        <v>15</v>
      </c>
      <c r="L111" s="33"/>
    </row>
    <row r="112" spans="2:12" s="1" customFormat="1" ht="16.5" customHeight="1" x14ac:dyDescent="0.3">
      <c r="B112" s="33"/>
      <c r="E112" s="324" t="str">
        <f>E7</f>
        <v>Obnova ulice Tyršova, Dobrovice - I. etapa</v>
      </c>
      <c r="F112" s="325"/>
      <c r="G112" s="325"/>
      <c r="H112" s="325"/>
      <c r="L112" s="33"/>
    </row>
    <row r="113" spans="2:65" s="1" customFormat="1" ht="12" customHeight="1" x14ac:dyDescent="0.3">
      <c r="B113" s="33"/>
      <c r="C113" s="28" t="s">
        <v>152</v>
      </c>
      <c r="L113" s="33"/>
    </row>
    <row r="114" spans="2:65" s="1" customFormat="1" ht="16.5" customHeight="1" x14ac:dyDescent="0.3">
      <c r="B114" s="33"/>
      <c r="E114" s="308" t="str">
        <f>E9</f>
        <v>SO 106.I - Stavební úprava sjezdu I. etapa</v>
      </c>
      <c r="F114" s="326"/>
      <c r="G114" s="326"/>
      <c r="H114" s="326"/>
      <c r="L114" s="33"/>
    </row>
    <row r="115" spans="2:65" s="1" customFormat="1" ht="6.95" customHeight="1" x14ac:dyDescent="0.3">
      <c r="B115" s="33"/>
      <c r="L115" s="33"/>
    </row>
    <row r="116" spans="2:65" s="1" customFormat="1" ht="12" customHeight="1" x14ac:dyDescent="0.3">
      <c r="B116" s="33"/>
      <c r="C116" s="28" t="s">
        <v>21</v>
      </c>
      <c r="F116" s="26" t="str">
        <f>F12</f>
        <v>Dobrovice</v>
      </c>
      <c r="I116" s="28" t="s">
        <v>23</v>
      </c>
      <c r="J116" s="53">
        <f>IF(J12="","",J12)</f>
        <v>45678</v>
      </c>
      <c r="L116" s="33"/>
    </row>
    <row r="117" spans="2:65" s="1" customFormat="1" ht="6.95" customHeight="1" x14ac:dyDescent="0.3">
      <c r="B117" s="33"/>
      <c r="L117" s="33"/>
    </row>
    <row r="118" spans="2:65" s="1" customFormat="1" ht="25.7" customHeight="1" x14ac:dyDescent="0.3">
      <c r="B118" s="33"/>
      <c r="C118" s="28" t="s">
        <v>28</v>
      </c>
      <c r="F118" s="26" t="str">
        <f>E15</f>
        <v>Město Dobrovice, Palckého nám. 28, 294 41</v>
      </c>
      <c r="I118" s="28" t="s">
        <v>34</v>
      </c>
      <c r="J118" s="96" t="str">
        <f>E21</f>
        <v>Ing. arch. Martin Jirovský Ph.D., MBA</v>
      </c>
      <c r="L118" s="33"/>
    </row>
    <row r="119" spans="2:65" s="1" customFormat="1" ht="40.15" customHeight="1" x14ac:dyDescent="0.3">
      <c r="B119" s="33"/>
      <c r="C119" s="28" t="s">
        <v>33</v>
      </c>
      <c r="F119" s="26">
        <f>IF(E18="","",E18)</f>
        <v>0</v>
      </c>
      <c r="I119" s="28" t="s">
        <v>38</v>
      </c>
      <c r="J119" s="96" t="str">
        <f>E24</f>
        <v>ROAD M.A.A.T. s.r.o., Petra Stejskalová</v>
      </c>
      <c r="L119" s="33"/>
    </row>
    <row r="120" spans="2:65" s="1" customFormat="1" ht="10.35" customHeight="1" x14ac:dyDescent="0.3">
      <c r="B120" s="33"/>
      <c r="L120" s="33"/>
    </row>
    <row r="121" spans="2:65" s="10" customFormat="1" ht="29.25" customHeight="1" x14ac:dyDescent="0.3">
      <c r="B121" s="119"/>
      <c r="C121" s="120" t="s">
        <v>169</v>
      </c>
      <c r="D121" s="121" t="s">
        <v>66</v>
      </c>
      <c r="E121" s="121" t="s">
        <v>63</v>
      </c>
      <c r="F121" s="121" t="s">
        <v>170</v>
      </c>
      <c r="G121" s="121" t="s">
        <v>171</v>
      </c>
      <c r="H121" s="121" t="s">
        <v>172</v>
      </c>
      <c r="I121" s="121" t="s">
        <v>173</v>
      </c>
      <c r="J121" s="121" t="s">
        <v>157</v>
      </c>
      <c r="K121" s="122" t="s">
        <v>174</v>
      </c>
      <c r="L121" s="119"/>
      <c r="M121" s="60" t="s">
        <v>1</v>
      </c>
      <c r="N121" s="61" t="s">
        <v>46</v>
      </c>
      <c r="O121" s="61" t="s">
        <v>175</v>
      </c>
      <c r="P121" s="61" t="s">
        <v>176</v>
      </c>
      <c r="Q121" s="61" t="s">
        <v>177</v>
      </c>
      <c r="R121" s="61" t="s">
        <v>178</v>
      </c>
      <c r="S121" s="61" t="s">
        <v>179</v>
      </c>
      <c r="T121" s="62" t="s">
        <v>180</v>
      </c>
    </row>
    <row r="122" spans="2:65" s="1" customFormat="1" ht="22.9" customHeight="1" x14ac:dyDescent="0.25">
      <c r="B122" s="33"/>
      <c r="C122" s="65" t="s">
        <v>181</v>
      </c>
      <c r="J122" s="123">
        <f>BK122</f>
        <v>507530.33000000007</v>
      </c>
      <c r="L122" s="33"/>
      <c r="M122" s="63"/>
      <c r="N122" s="54"/>
      <c r="O122" s="54"/>
      <c r="P122" s="124">
        <f>P123</f>
        <v>473.24686400000002</v>
      </c>
      <c r="Q122" s="54"/>
      <c r="R122" s="124">
        <f>R123</f>
        <v>127.87253769999998</v>
      </c>
      <c r="S122" s="54"/>
      <c r="T122" s="125">
        <f>T123</f>
        <v>90.489000000000004</v>
      </c>
      <c r="AT122" s="18" t="s">
        <v>80</v>
      </c>
      <c r="AU122" s="18" t="s">
        <v>159</v>
      </c>
      <c r="BK122" s="126">
        <f>BK123</f>
        <v>507530.33000000007</v>
      </c>
    </row>
    <row r="123" spans="2:65" s="11" customFormat="1" ht="25.9" customHeight="1" x14ac:dyDescent="0.2">
      <c r="B123" s="127"/>
      <c r="D123" s="128" t="s">
        <v>80</v>
      </c>
      <c r="E123" s="129" t="s">
        <v>182</v>
      </c>
      <c r="F123" s="129" t="s">
        <v>183</v>
      </c>
      <c r="J123" s="130">
        <f>BK123</f>
        <v>507530.33000000007</v>
      </c>
      <c r="L123" s="127"/>
      <c r="M123" s="131"/>
      <c r="P123" s="132">
        <f>P124+P157+P179+P192+P202</f>
        <v>473.24686400000002</v>
      </c>
      <c r="R123" s="132">
        <f>R124+R157+R179+R192+R202</f>
        <v>127.87253769999998</v>
      </c>
      <c r="T123" s="133">
        <f>T124+T157+T179+T192+T202</f>
        <v>90.489000000000004</v>
      </c>
      <c r="AR123" s="128" t="s">
        <v>88</v>
      </c>
      <c r="AT123" s="134" t="s">
        <v>80</v>
      </c>
      <c r="AU123" s="134" t="s">
        <v>81</v>
      </c>
      <c r="AY123" s="128" t="s">
        <v>184</v>
      </c>
      <c r="BK123" s="135">
        <f>BK124+BK157+BK179+BK192+BK202</f>
        <v>507530.33000000007</v>
      </c>
    </row>
    <row r="124" spans="2:65" s="11" customFormat="1" ht="22.9" customHeight="1" x14ac:dyDescent="0.2">
      <c r="B124" s="127"/>
      <c r="D124" s="128" t="s">
        <v>80</v>
      </c>
      <c r="E124" s="136" t="s">
        <v>88</v>
      </c>
      <c r="F124" s="136" t="s">
        <v>185</v>
      </c>
      <c r="J124" s="137">
        <f>BK124</f>
        <v>104014.66</v>
      </c>
      <c r="L124" s="127"/>
      <c r="M124" s="131"/>
      <c r="P124" s="132">
        <f>SUM(P125:P156)</f>
        <v>169.89924000000005</v>
      </c>
      <c r="R124" s="132">
        <f>SUM(R125:R156)</f>
        <v>0</v>
      </c>
      <c r="T124" s="133">
        <f>SUM(T125:T156)</f>
        <v>90.489000000000004</v>
      </c>
      <c r="AR124" s="128" t="s">
        <v>88</v>
      </c>
      <c r="AT124" s="134" t="s">
        <v>80</v>
      </c>
      <c r="AU124" s="134" t="s">
        <v>88</v>
      </c>
      <c r="AY124" s="128" t="s">
        <v>184</v>
      </c>
      <c r="BK124" s="135">
        <f>SUM(BK125:BK156)</f>
        <v>104014.66</v>
      </c>
    </row>
    <row r="125" spans="2:65" s="1" customFormat="1" ht="21.75" customHeight="1" x14ac:dyDescent="0.3">
      <c r="B125" s="33"/>
      <c r="C125" s="138" t="s">
        <v>88</v>
      </c>
      <c r="D125" s="138" t="s">
        <v>186</v>
      </c>
      <c r="E125" s="139" t="s">
        <v>197</v>
      </c>
      <c r="F125" s="140" t="s">
        <v>198</v>
      </c>
      <c r="G125" s="141" t="s">
        <v>189</v>
      </c>
      <c r="H125" s="142">
        <v>130.19999999999999</v>
      </c>
      <c r="I125" s="143">
        <v>45.82</v>
      </c>
      <c r="J125" s="144">
        <f>ROUND(I125*H125,2)</f>
        <v>5965.76</v>
      </c>
      <c r="K125" s="140" t="s">
        <v>190</v>
      </c>
      <c r="L125" s="33"/>
      <c r="M125" s="145" t="s">
        <v>1</v>
      </c>
      <c r="N125" s="146" t="s">
        <v>47</v>
      </c>
      <c r="O125" s="147">
        <v>0.02</v>
      </c>
      <c r="P125" s="147">
        <f>O125*H125</f>
        <v>2.6039999999999996</v>
      </c>
      <c r="Q125" s="147">
        <v>0</v>
      </c>
      <c r="R125" s="147">
        <f>Q125*H125</f>
        <v>0</v>
      </c>
      <c r="S125" s="147">
        <v>0.255</v>
      </c>
      <c r="T125" s="148">
        <f>S125*H125</f>
        <v>33.201000000000001</v>
      </c>
      <c r="AR125" s="149" t="s">
        <v>191</v>
      </c>
      <c r="AT125" s="149" t="s">
        <v>186</v>
      </c>
      <c r="AU125" s="149" t="s">
        <v>20</v>
      </c>
      <c r="AY125" s="18" t="s">
        <v>184</v>
      </c>
      <c r="BE125" s="150">
        <f>IF(N125="základní",J125,0)</f>
        <v>5965.76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8" t="s">
        <v>88</v>
      </c>
      <c r="BK125" s="150">
        <f>ROUND(I125*H125,2)</f>
        <v>5965.76</v>
      </c>
      <c r="BL125" s="18" t="s">
        <v>191</v>
      </c>
      <c r="BM125" s="149" t="s">
        <v>668</v>
      </c>
    </row>
    <row r="126" spans="2:65" s="1" customFormat="1" x14ac:dyDescent="0.3">
      <c r="B126" s="33"/>
      <c r="D126" s="151" t="s">
        <v>193</v>
      </c>
      <c r="F126" s="152" t="s">
        <v>200</v>
      </c>
      <c r="I126" s="153"/>
      <c r="L126" s="33"/>
      <c r="M126" s="154"/>
      <c r="T126" s="57"/>
      <c r="AT126" s="18" t="s">
        <v>193</v>
      </c>
      <c r="AU126" s="18" t="s">
        <v>20</v>
      </c>
    </row>
    <row r="127" spans="2:65" s="12" customFormat="1" ht="11.25" x14ac:dyDescent="0.3">
      <c r="B127" s="155"/>
      <c r="D127" s="156" t="s">
        <v>195</v>
      </c>
      <c r="E127" s="157" t="s">
        <v>1</v>
      </c>
      <c r="F127" s="158" t="s">
        <v>669</v>
      </c>
      <c r="H127" s="159">
        <v>130.19999999999999</v>
      </c>
      <c r="I127" s="160"/>
      <c r="L127" s="155"/>
      <c r="M127" s="161"/>
      <c r="T127" s="162"/>
      <c r="AT127" s="157" t="s">
        <v>195</v>
      </c>
      <c r="AU127" s="157" t="s">
        <v>20</v>
      </c>
      <c r="AV127" s="12" t="s">
        <v>20</v>
      </c>
      <c r="AW127" s="12" t="s">
        <v>37</v>
      </c>
      <c r="AX127" s="12" t="s">
        <v>88</v>
      </c>
      <c r="AY127" s="157" t="s">
        <v>184</v>
      </c>
    </row>
    <row r="128" spans="2:65" s="1" customFormat="1" ht="21.75" customHeight="1" x14ac:dyDescent="0.3">
      <c r="B128" s="33"/>
      <c r="C128" s="138" t="s">
        <v>20</v>
      </c>
      <c r="D128" s="138" t="s">
        <v>186</v>
      </c>
      <c r="E128" s="139" t="s">
        <v>670</v>
      </c>
      <c r="F128" s="140" t="s">
        <v>671</v>
      </c>
      <c r="G128" s="141" t="s">
        <v>189</v>
      </c>
      <c r="H128" s="142">
        <v>130.19999999999999</v>
      </c>
      <c r="I128" s="143">
        <v>137.44999999999999</v>
      </c>
      <c r="J128" s="144">
        <f>ROUND(I128*H128,2)</f>
        <v>17895.990000000002</v>
      </c>
      <c r="K128" s="140" t="s">
        <v>190</v>
      </c>
      <c r="L128" s="33"/>
      <c r="M128" s="145" t="s">
        <v>1</v>
      </c>
      <c r="N128" s="146" t="s">
        <v>47</v>
      </c>
      <c r="O128" s="147">
        <v>0.16600000000000001</v>
      </c>
      <c r="P128" s="147">
        <f>O128*H128</f>
        <v>21.613199999999999</v>
      </c>
      <c r="Q128" s="147">
        <v>0</v>
      </c>
      <c r="R128" s="147">
        <f>Q128*H128</f>
        <v>0</v>
      </c>
      <c r="S128" s="147">
        <v>0.44</v>
      </c>
      <c r="T128" s="148">
        <f>S128*H128</f>
        <v>57.287999999999997</v>
      </c>
      <c r="AR128" s="149" t="s">
        <v>191</v>
      </c>
      <c r="AT128" s="149" t="s">
        <v>186</v>
      </c>
      <c r="AU128" s="149" t="s">
        <v>20</v>
      </c>
      <c r="AY128" s="18" t="s">
        <v>184</v>
      </c>
      <c r="BE128" s="150">
        <f>IF(N128="základní",J128,0)</f>
        <v>17895.990000000002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8" t="s">
        <v>88</v>
      </c>
      <c r="BK128" s="150">
        <f>ROUND(I128*H128,2)</f>
        <v>17895.990000000002</v>
      </c>
      <c r="BL128" s="18" t="s">
        <v>191</v>
      </c>
      <c r="BM128" s="149" t="s">
        <v>672</v>
      </c>
    </row>
    <row r="129" spans="2:65" s="1" customFormat="1" x14ac:dyDescent="0.3">
      <c r="B129" s="33"/>
      <c r="D129" s="151" t="s">
        <v>193</v>
      </c>
      <c r="F129" s="152" t="s">
        <v>673</v>
      </c>
      <c r="I129" s="153"/>
      <c r="L129" s="33"/>
      <c r="M129" s="154"/>
      <c r="T129" s="57"/>
      <c r="AT129" s="18" t="s">
        <v>193</v>
      </c>
      <c r="AU129" s="18" t="s">
        <v>20</v>
      </c>
    </row>
    <row r="130" spans="2:65" s="12" customFormat="1" ht="11.25" x14ac:dyDescent="0.3">
      <c r="B130" s="155"/>
      <c r="D130" s="156" t="s">
        <v>195</v>
      </c>
      <c r="E130" s="157" t="s">
        <v>1</v>
      </c>
      <c r="F130" s="158" t="s">
        <v>669</v>
      </c>
      <c r="H130" s="159">
        <v>130.19999999999999</v>
      </c>
      <c r="I130" s="160"/>
      <c r="L130" s="155"/>
      <c r="M130" s="161"/>
      <c r="T130" s="162"/>
      <c r="AT130" s="157" t="s">
        <v>195</v>
      </c>
      <c r="AU130" s="157" t="s">
        <v>20</v>
      </c>
      <c r="AV130" s="12" t="s">
        <v>20</v>
      </c>
      <c r="AW130" s="12" t="s">
        <v>37</v>
      </c>
      <c r="AX130" s="12" t="s">
        <v>88</v>
      </c>
      <c r="AY130" s="157" t="s">
        <v>184</v>
      </c>
    </row>
    <row r="131" spans="2:65" s="1" customFormat="1" ht="21.75" customHeight="1" x14ac:dyDescent="0.3">
      <c r="B131" s="33"/>
      <c r="C131" s="138" t="s">
        <v>202</v>
      </c>
      <c r="D131" s="138" t="s">
        <v>186</v>
      </c>
      <c r="E131" s="139" t="s">
        <v>674</v>
      </c>
      <c r="F131" s="140" t="s">
        <v>675</v>
      </c>
      <c r="G131" s="141" t="s">
        <v>217</v>
      </c>
      <c r="H131" s="142">
        <v>39.06</v>
      </c>
      <c r="I131" s="143">
        <v>229.08</v>
      </c>
      <c r="J131" s="144">
        <f>ROUND(I131*H131,2)</f>
        <v>8947.86</v>
      </c>
      <c r="K131" s="140" t="s">
        <v>190</v>
      </c>
      <c r="L131" s="33"/>
      <c r="M131" s="145" t="s">
        <v>1</v>
      </c>
      <c r="N131" s="146" t="s">
        <v>47</v>
      </c>
      <c r="O131" s="147">
        <v>0.188</v>
      </c>
      <c r="P131" s="147">
        <f>O131*H131</f>
        <v>7.34328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AR131" s="149" t="s">
        <v>191</v>
      </c>
      <c r="AT131" s="149" t="s">
        <v>186</v>
      </c>
      <c r="AU131" s="149" t="s">
        <v>20</v>
      </c>
      <c r="AY131" s="18" t="s">
        <v>184</v>
      </c>
      <c r="BE131" s="150">
        <f>IF(N131="základní",J131,0)</f>
        <v>8947.86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8" t="s">
        <v>88</v>
      </c>
      <c r="BK131" s="150">
        <f>ROUND(I131*H131,2)</f>
        <v>8947.86</v>
      </c>
      <c r="BL131" s="18" t="s">
        <v>191</v>
      </c>
      <c r="BM131" s="149" t="s">
        <v>676</v>
      </c>
    </row>
    <row r="132" spans="2:65" s="1" customFormat="1" x14ac:dyDescent="0.3">
      <c r="B132" s="33"/>
      <c r="D132" s="151" t="s">
        <v>193</v>
      </c>
      <c r="F132" s="152" t="s">
        <v>677</v>
      </c>
      <c r="I132" s="153"/>
      <c r="L132" s="33"/>
      <c r="M132" s="154"/>
      <c r="T132" s="57"/>
      <c r="AT132" s="18" t="s">
        <v>193</v>
      </c>
      <c r="AU132" s="18" t="s">
        <v>20</v>
      </c>
    </row>
    <row r="133" spans="2:65" s="12" customFormat="1" ht="11.25" x14ac:dyDescent="0.3">
      <c r="B133" s="155"/>
      <c r="D133" s="156" t="s">
        <v>195</v>
      </c>
      <c r="E133" s="157" t="s">
        <v>1</v>
      </c>
      <c r="F133" s="158" t="s">
        <v>678</v>
      </c>
      <c r="H133" s="159">
        <v>39.06</v>
      </c>
      <c r="I133" s="160"/>
      <c r="L133" s="155"/>
      <c r="M133" s="161"/>
      <c r="T133" s="162"/>
      <c r="AT133" s="157" t="s">
        <v>195</v>
      </c>
      <c r="AU133" s="157" t="s">
        <v>20</v>
      </c>
      <c r="AV133" s="12" t="s">
        <v>20</v>
      </c>
      <c r="AW133" s="12" t="s">
        <v>37</v>
      </c>
      <c r="AX133" s="12" t="s">
        <v>88</v>
      </c>
      <c r="AY133" s="157" t="s">
        <v>184</v>
      </c>
    </row>
    <row r="134" spans="2:65" s="1" customFormat="1" ht="16.5" customHeight="1" x14ac:dyDescent="0.3">
      <c r="B134" s="33"/>
      <c r="C134" s="138" t="s">
        <v>191</v>
      </c>
      <c r="D134" s="138" t="s">
        <v>186</v>
      </c>
      <c r="E134" s="139" t="s">
        <v>222</v>
      </c>
      <c r="F134" s="140" t="s">
        <v>223</v>
      </c>
      <c r="G134" s="141" t="s">
        <v>217</v>
      </c>
      <c r="H134" s="142">
        <v>84</v>
      </c>
      <c r="I134" s="143">
        <v>474.03</v>
      </c>
      <c r="J134" s="144">
        <f>ROUND(I134*H134,2)</f>
        <v>39818.519999999997</v>
      </c>
      <c r="K134" s="140" t="s">
        <v>190</v>
      </c>
      <c r="L134" s="33"/>
      <c r="M134" s="145" t="s">
        <v>1</v>
      </c>
      <c r="N134" s="146" t="s">
        <v>47</v>
      </c>
      <c r="O134" s="147">
        <v>1.548</v>
      </c>
      <c r="P134" s="147">
        <f>O134*H134</f>
        <v>130.03200000000001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AR134" s="149" t="s">
        <v>191</v>
      </c>
      <c r="AT134" s="149" t="s">
        <v>186</v>
      </c>
      <c r="AU134" s="149" t="s">
        <v>20</v>
      </c>
      <c r="AY134" s="18" t="s">
        <v>184</v>
      </c>
      <c r="BE134" s="150">
        <f>IF(N134="základní",J134,0)</f>
        <v>39818.519999999997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8" t="s">
        <v>88</v>
      </c>
      <c r="BK134" s="150">
        <f>ROUND(I134*H134,2)</f>
        <v>39818.519999999997</v>
      </c>
      <c r="BL134" s="18" t="s">
        <v>191</v>
      </c>
      <c r="BM134" s="149" t="s">
        <v>679</v>
      </c>
    </row>
    <row r="135" spans="2:65" s="1" customFormat="1" x14ac:dyDescent="0.3">
      <c r="B135" s="33"/>
      <c r="D135" s="151" t="s">
        <v>193</v>
      </c>
      <c r="F135" s="152" t="s">
        <v>225</v>
      </c>
      <c r="I135" s="153"/>
      <c r="L135" s="33"/>
      <c r="M135" s="154"/>
      <c r="T135" s="57"/>
      <c r="AT135" s="18" t="s">
        <v>193</v>
      </c>
      <c r="AU135" s="18" t="s">
        <v>20</v>
      </c>
    </row>
    <row r="136" spans="2:65" s="12" customFormat="1" ht="11.25" x14ac:dyDescent="0.3">
      <c r="B136" s="155"/>
      <c r="D136" s="156" t="s">
        <v>195</v>
      </c>
      <c r="E136" s="157" t="s">
        <v>1</v>
      </c>
      <c r="F136" s="158" t="s">
        <v>680</v>
      </c>
      <c r="H136" s="159">
        <v>15</v>
      </c>
      <c r="I136" s="160"/>
      <c r="L136" s="155"/>
      <c r="M136" s="161"/>
      <c r="T136" s="162"/>
      <c r="AT136" s="157" t="s">
        <v>195</v>
      </c>
      <c r="AU136" s="157" t="s">
        <v>20</v>
      </c>
      <c r="AV136" s="12" t="s">
        <v>20</v>
      </c>
      <c r="AW136" s="12" t="s">
        <v>37</v>
      </c>
      <c r="AX136" s="12" t="s">
        <v>81</v>
      </c>
      <c r="AY136" s="157" t="s">
        <v>184</v>
      </c>
    </row>
    <row r="137" spans="2:65" s="12" customFormat="1" ht="11.25" x14ac:dyDescent="0.3">
      <c r="B137" s="155"/>
      <c r="D137" s="156" t="s">
        <v>195</v>
      </c>
      <c r="E137" s="157" t="s">
        <v>1</v>
      </c>
      <c r="F137" s="158" t="s">
        <v>681</v>
      </c>
      <c r="H137" s="159">
        <v>48</v>
      </c>
      <c r="I137" s="160"/>
      <c r="L137" s="155"/>
      <c r="M137" s="161"/>
      <c r="T137" s="162"/>
      <c r="AT137" s="157" t="s">
        <v>195</v>
      </c>
      <c r="AU137" s="157" t="s">
        <v>20</v>
      </c>
      <c r="AV137" s="12" t="s">
        <v>20</v>
      </c>
      <c r="AW137" s="12" t="s">
        <v>37</v>
      </c>
      <c r="AX137" s="12" t="s">
        <v>81</v>
      </c>
      <c r="AY137" s="157" t="s">
        <v>184</v>
      </c>
    </row>
    <row r="138" spans="2:65" s="12" customFormat="1" ht="11.25" x14ac:dyDescent="0.3">
      <c r="B138" s="155"/>
      <c r="D138" s="156" t="s">
        <v>195</v>
      </c>
      <c r="E138" s="157" t="s">
        <v>1</v>
      </c>
      <c r="F138" s="158" t="s">
        <v>682</v>
      </c>
      <c r="H138" s="159">
        <v>11.5</v>
      </c>
      <c r="I138" s="160"/>
      <c r="L138" s="155"/>
      <c r="M138" s="161"/>
      <c r="T138" s="162"/>
      <c r="AT138" s="157" t="s">
        <v>195</v>
      </c>
      <c r="AU138" s="157" t="s">
        <v>20</v>
      </c>
      <c r="AV138" s="12" t="s">
        <v>20</v>
      </c>
      <c r="AW138" s="12" t="s">
        <v>37</v>
      </c>
      <c r="AX138" s="12" t="s">
        <v>81</v>
      </c>
      <c r="AY138" s="157" t="s">
        <v>184</v>
      </c>
    </row>
    <row r="139" spans="2:65" s="12" customFormat="1" ht="11.25" x14ac:dyDescent="0.3">
      <c r="B139" s="155"/>
      <c r="D139" s="156" t="s">
        <v>195</v>
      </c>
      <c r="E139" s="157" t="s">
        <v>1</v>
      </c>
      <c r="F139" s="158" t="s">
        <v>683</v>
      </c>
      <c r="H139" s="159">
        <v>9.5</v>
      </c>
      <c r="I139" s="160"/>
      <c r="L139" s="155"/>
      <c r="M139" s="161"/>
      <c r="T139" s="162"/>
      <c r="AT139" s="157" t="s">
        <v>195</v>
      </c>
      <c r="AU139" s="157" t="s">
        <v>20</v>
      </c>
      <c r="AV139" s="12" t="s">
        <v>20</v>
      </c>
      <c r="AW139" s="12" t="s">
        <v>37</v>
      </c>
      <c r="AX139" s="12" t="s">
        <v>81</v>
      </c>
      <c r="AY139" s="157" t="s">
        <v>184</v>
      </c>
    </row>
    <row r="140" spans="2:65" s="13" customFormat="1" ht="11.25" x14ac:dyDescent="0.3">
      <c r="B140" s="163"/>
      <c r="D140" s="156" t="s">
        <v>195</v>
      </c>
      <c r="E140" s="164" t="s">
        <v>1</v>
      </c>
      <c r="F140" s="165" t="s">
        <v>230</v>
      </c>
      <c r="H140" s="166">
        <v>84</v>
      </c>
      <c r="I140" s="167"/>
      <c r="L140" s="163"/>
      <c r="M140" s="168"/>
      <c r="T140" s="169"/>
      <c r="AT140" s="164" t="s">
        <v>195</v>
      </c>
      <c r="AU140" s="164" t="s">
        <v>20</v>
      </c>
      <c r="AV140" s="13" t="s">
        <v>191</v>
      </c>
      <c r="AW140" s="13" t="s">
        <v>37</v>
      </c>
      <c r="AX140" s="13" t="s">
        <v>88</v>
      </c>
      <c r="AY140" s="164" t="s">
        <v>184</v>
      </c>
    </row>
    <row r="141" spans="2:65" s="1" customFormat="1" ht="21.75" customHeight="1" x14ac:dyDescent="0.3">
      <c r="B141" s="33"/>
      <c r="C141" s="138" t="s">
        <v>214</v>
      </c>
      <c r="D141" s="138" t="s">
        <v>186</v>
      </c>
      <c r="E141" s="139" t="s">
        <v>232</v>
      </c>
      <c r="F141" s="140" t="s">
        <v>233</v>
      </c>
      <c r="G141" s="141" t="s">
        <v>217</v>
      </c>
      <c r="H141" s="142">
        <v>39.06</v>
      </c>
      <c r="I141" s="143">
        <v>103.82</v>
      </c>
      <c r="J141" s="144">
        <f>ROUND(I141*H141,2)</f>
        <v>4055.21</v>
      </c>
      <c r="K141" s="140" t="s">
        <v>190</v>
      </c>
      <c r="L141" s="33"/>
      <c r="M141" s="145" t="s">
        <v>1</v>
      </c>
      <c r="N141" s="146" t="s">
        <v>47</v>
      </c>
      <c r="O141" s="147">
        <v>8.6999999999999994E-2</v>
      </c>
      <c r="P141" s="147">
        <f>O141*H141</f>
        <v>3.3982199999999998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49" t="s">
        <v>191</v>
      </c>
      <c r="AT141" s="149" t="s">
        <v>186</v>
      </c>
      <c r="AU141" s="149" t="s">
        <v>20</v>
      </c>
      <c r="AY141" s="18" t="s">
        <v>184</v>
      </c>
      <c r="BE141" s="150">
        <f>IF(N141="základní",J141,0)</f>
        <v>4055.21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8" t="s">
        <v>88</v>
      </c>
      <c r="BK141" s="150">
        <f>ROUND(I141*H141,2)</f>
        <v>4055.21</v>
      </c>
      <c r="BL141" s="18" t="s">
        <v>191</v>
      </c>
      <c r="BM141" s="149" t="s">
        <v>684</v>
      </c>
    </row>
    <row r="142" spans="2:65" s="1" customFormat="1" x14ac:dyDescent="0.3">
      <c r="B142" s="33"/>
      <c r="D142" s="151" t="s">
        <v>193</v>
      </c>
      <c r="F142" s="152" t="s">
        <v>235</v>
      </c>
      <c r="I142" s="153"/>
      <c r="L142" s="33"/>
      <c r="M142" s="154"/>
      <c r="T142" s="57"/>
      <c r="AT142" s="18" t="s">
        <v>193</v>
      </c>
      <c r="AU142" s="18" t="s">
        <v>20</v>
      </c>
    </row>
    <row r="143" spans="2:65" s="1" customFormat="1" ht="19.5" x14ac:dyDescent="0.3">
      <c r="B143" s="33"/>
      <c r="D143" s="156" t="s">
        <v>236</v>
      </c>
      <c r="F143" s="170" t="s">
        <v>237</v>
      </c>
      <c r="I143" s="153"/>
      <c r="L143" s="33"/>
      <c r="M143" s="154"/>
      <c r="T143" s="57"/>
      <c r="AT143" s="18" t="s">
        <v>236</v>
      </c>
      <c r="AU143" s="18" t="s">
        <v>20</v>
      </c>
    </row>
    <row r="144" spans="2:65" s="12" customFormat="1" ht="11.25" x14ac:dyDescent="0.3">
      <c r="B144" s="155"/>
      <c r="D144" s="156" t="s">
        <v>195</v>
      </c>
      <c r="E144" s="157" t="s">
        <v>1</v>
      </c>
      <c r="F144" s="158" t="s">
        <v>685</v>
      </c>
      <c r="H144" s="159">
        <v>39.06</v>
      </c>
      <c r="I144" s="160"/>
      <c r="L144" s="155"/>
      <c r="M144" s="161"/>
      <c r="T144" s="162"/>
      <c r="AT144" s="157" t="s">
        <v>195</v>
      </c>
      <c r="AU144" s="157" t="s">
        <v>20</v>
      </c>
      <c r="AV144" s="12" t="s">
        <v>20</v>
      </c>
      <c r="AW144" s="12" t="s">
        <v>37</v>
      </c>
      <c r="AX144" s="12" t="s">
        <v>88</v>
      </c>
      <c r="AY144" s="157" t="s">
        <v>184</v>
      </c>
    </row>
    <row r="145" spans="2:65" s="1" customFormat="1" ht="24.2" customHeight="1" x14ac:dyDescent="0.3">
      <c r="B145" s="33"/>
      <c r="C145" s="138" t="s">
        <v>221</v>
      </c>
      <c r="D145" s="138" t="s">
        <v>186</v>
      </c>
      <c r="E145" s="139" t="s">
        <v>240</v>
      </c>
      <c r="F145" s="140" t="s">
        <v>241</v>
      </c>
      <c r="G145" s="141" t="s">
        <v>217</v>
      </c>
      <c r="H145" s="142">
        <v>156.24</v>
      </c>
      <c r="I145" s="143">
        <v>7.13</v>
      </c>
      <c r="J145" s="144">
        <f>ROUND(I145*H145,2)</f>
        <v>1113.99</v>
      </c>
      <c r="K145" s="140" t="s">
        <v>190</v>
      </c>
      <c r="L145" s="33"/>
      <c r="M145" s="145" t="s">
        <v>1</v>
      </c>
      <c r="N145" s="146" t="s">
        <v>47</v>
      </c>
      <c r="O145" s="147">
        <v>5.0000000000000001E-3</v>
      </c>
      <c r="P145" s="147">
        <f>O145*H145</f>
        <v>0.78120000000000012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49" t="s">
        <v>191</v>
      </c>
      <c r="AT145" s="149" t="s">
        <v>186</v>
      </c>
      <c r="AU145" s="149" t="s">
        <v>20</v>
      </c>
      <c r="AY145" s="18" t="s">
        <v>184</v>
      </c>
      <c r="BE145" s="150">
        <f>IF(N145="základní",J145,0)</f>
        <v>1113.99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8" t="s">
        <v>88</v>
      </c>
      <c r="BK145" s="150">
        <f>ROUND(I145*H145,2)</f>
        <v>1113.99</v>
      </c>
      <c r="BL145" s="18" t="s">
        <v>191</v>
      </c>
      <c r="BM145" s="149" t="s">
        <v>686</v>
      </c>
    </row>
    <row r="146" spans="2:65" s="1" customFormat="1" x14ac:dyDescent="0.3">
      <c r="B146" s="33"/>
      <c r="D146" s="151" t="s">
        <v>193</v>
      </c>
      <c r="F146" s="152" t="s">
        <v>243</v>
      </c>
      <c r="I146" s="153"/>
      <c r="L146" s="33"/>
      <c r="M146" s="154"/>
      <c r="T146" s="57"/>
      <c r="AT146" s="18" t="s">
        <v>193</v>
      </c>
      <c r="AU146" s="18" t="s">
        <v>20</v>
      </c>
    </row>
    <row r="147" spans="2:65" s="1" customFormat="1" ht="19.5" x14ac:dyDescent="0.3">
      <c r="B147" s="33"/>
      <c r="D147" s="156" t="s">
        <v>236</v>
      </c>
      <c r="F147" s="170" t="s">
        <v>237</v>
      </c>
      <c r="I147" s="153"/>
      <c r="L147" s="33"/>
      <c r="M147" s="154"/>
      <c r="T147" s="57"/>
      <c r="AT147" s="18" t="s">
        <v>236</v>
      </c>
      <c r="AU147" s="18" t="s">
        <v>20</v>
      </c>
    </row>
    <row r="148" spans="2:65" s="12" customFormat="1" ht="11.25" x14ac:dyDescent="0.3">
      <c r="B148" s="155"/>
      <c r="D148" s="156" t="s">
        <v>195</v>
      </c>
      <c r="E148" s="157" t="s">
        <v>1</v>
      </c>
      <c r="F148" s="158" t="s">
        <v>687</v>
      </c>
      <c r="H148" s="159">
        <v>156.24</v>
      </c>
      <c r="I148" s="160"/>
      <c r="L148" s="155"/>
      <c r="M148" s="161"/>
      <c r="T148" s="162"/>
      <c r="AT148" s="157" t="s">
        <v>195</v>
      </c>
      <c r="AU148" s="157" t="s">
        <v>20</v>
      </c>
      <c r="AV148" s="12" t="s">
        <v>20</v>
      </c>
      <c r="AW148" s="12" t="s">
        <v>37</v>
      </c>
      <c r="AX148" s="12" t="s">
        <v>88</v>
      </c>
      <c r="AY148" s="157" t="s">
        <v>184</v>
      </c>
    </row>
    <row r="149" spans="2:65" s="1" customFormat="1" ht="16.5" customHeight="1" x14ac:dyDescent="0.3">
      <c r="B149" s="33"/>
      <c r="C149" s="138" t="s">
        <v>231</v>
      </c>
      <c r="D149" s="138" t="s">
        <v>186</v>
      </c>
      <c r="E149" s="139" t="s">
        <v>246</v>
      </c>
      <c r="F149" s="140" t="s">
        <v>247</v>
      </c>
      <c r="G149" s="141" t="s">
        <v>248</v>
      </c>
      <c r="H149" s="142">
        <v>78.12</v>
      </c>
      <c r="I149" s="143">
        <v>256.7</v>
      </c>
      <c r="J149" s="144">
        <f>ROUND(I149*H149,2)</f>
        <v>20053.400000000001</v>
      </c>
      <c r="K149" s="140" t="s">
        <v>190</v>
      </c>
      <c r="L149" s="33"/>
      <c r="M149" s="145" t="s">
        <v>1</v>
      </c>
      <c r="N149" s="146" t="s">
        <v>47</v>
      </c>
      <c r="O149" s="147">
        <v>0</v>
      </c>
      <c r="P149" s="147">
        <f>O149*H149</f>
        <v>0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49" t="s">
        <v>191</v>
      </c>
      <c r="AT149" s="149" t="s">
        <v>186</v>
      </c>
      <c r="AU149" s="149" t="s">
        <v>20</v>
      </c>
      <c r="AY149" s="18" t="s">
        <v>184</v>
      </c>
      <c r="BE149" s="150">
        <f>IF(N149="základní",J149,0)</f>
        <v>20053.400000000001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8" t="s">
        <v>88</v>
      </c>
      <c r="BK149" s="150">
        <f>ROUND(I149*H149,2)</f>
        <v>20053.400000000001</v>
      </c>
      <c r="BL149" s="18" t="s">
        <v>191</v>
      </c>
      <c r="BM149" s="149" t="s">
        <v>688</v>
      </c>
    </row>
    <row r="150" spans="2:65" s="1" customFormat="1" x14ac:dyDescent="0.3">
      <c r="B150" s="33"/>
      <c r="D150" s="151" t="s">
        <v>193</v>
      </c>
      <c r="F150" s="152" t="s">
        <v>250</v>
      </c>
      <c r="I150" s="153"/>
      <c r="L150" s="33"/>
      <c r="M150" s="154"/>
      <c r="T150" s="57"/>
      <c r="AT150" s="18" t="s">
        <v>193</v>
      </c>
      <c r="AU150" s="18" t="s">
        <v>20</v>
      </c>
    </row>
    <row r="151" spans="2:65" s="12" customFormat="1" ht="11.25" x14ac:dyDescent="0.3">
      <c r="B151" s="155"/>
      <c r="D151" s="156" t="s">
        <v>195</v>
      </c>
      <c r="E151" s="157" t="s">
        <v>1</v>
      </c>
      <c r="F151" s="158" t="s">
        <v>689</v>
      </c>
      <c r="H151" s="159">
        <v>78.12</v>
      </c>
      <c r="I151" s="160"/>
      <c r="L151" s="155"/>
      <c r="M151" s="161"/>
      <c r="T151" s="162"/>
      <c r="AT151" s="157" t="s">
        <v>195</v>
      </c>
      <c r="AU151" s="157" t="s">
        <v>20</v>
      </c>
      <c r="AV151" s="12" t="s">
        <v>20</v>
      </c>
      <c r="AW151" s="12" t="s">
        <v>37</v>
      </c>
      <c r="AX151" s="12" t="s">
        <v>88</v>
      </c>
      <c r="AY151" s="157" t="s">
        <v>184</v>
      </c>
    </row>
    <row r="152" spans="2:65" s="1" customFormat="1" ht="16.5" customHeight="1" x14ac:dyDescent="0.3">
      <c r="B152" s="33"/>
      <c r="C152" s="138" t="s">
        <v>239</v>
      </c>
      <c r="D152" s="138" t="s">
        <v>186</v>
      </c>
      <c r="E152" s="139" t="s">
        <v>253</v>
      </c>
      <c r="F152" s="140" t="s">
        <v>254</v>
      </c>
      <c r="G152" s="141" t="s">
        <v>217</v>
      </c>
      <c r="H152" s="142">
        <v>39.06</v>
      </c>
      <c r="I152" s="143">
        <v>30.54</v>
      </c>
      <c r="J152" s="144">
        <f>ROUND(I152*H152,2)</f>
        <v>1192.8900000000001</v>
      </c>
      <c r="K152" s="140" t="s">
        <v>190</v>
      </c>
      <c r="L152" s="33"/>
      <c r="M152" s="145" t="s">
        <v>1</v>
      </c>
      <c r="N152" s="146" t="s">
        <v>47</v>
      </c>
      <c r="O152" s="147">
        <v>8.9999999999999993E-3</v>
      </c>
      <c r="P152" s="147">
        <f>O152*H152</f>
        <v>0.35154000000000002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49" t="s">
        <v>191</v>
      </c>
      <c r="AT152" s="149" t="s">
        <v>186</v>
      </c>
      <c r="AU152" s="149" t="s">
        <v>20</v>
      </c>
      <c r="AY152" s="18" t="s">
        <v>184</v>
      </c>
      <c r="BE152" s="150">
        <f>IF(N152="základní",J152,0)</f>
        <v>1192.8900000000001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8" t="s">
        <v>88</v>
      </c>
      <c r="BK152" s="150">
        <f>ROUND(I152*H152,2)</f>
        <v>1192.8900000000001</v>
      </c>
      <c r="BL152" s="18" t="s">
        <v>191</v>
      </c>
      <c r="BM152" s="149" t="s">
        <v>690</v>
      </c>
    </row>
    <row r="153" spans="2:65" s="1" customFormat="1" x14ac:dyDescent="0.3">
      <c r="B153" s="33"/>
      <c r="D153" s="151" t="s">
        <v>193</v>
      </c>
      <c r="F153" s="152" t="s">
        <v>256</v>
      </c>
      <c r="I153" s="153"/>
      <c r="L153" s="33"/>
      <c r="M153" s="154"/>
      <c r="T153" s="57"/>
      <c r="AT153" s="18" t="s">
        <v>193</v>
      </c>
      <c r="AU153" s="18" t="s">
        <v>20</v>
      </c>
    </row>
    <row r="154" spans="2:65" s="1" customFormat="1" ht="16.5" customHeight="1" x14ac:dyDescent="0.3">
      <c r="B154" s="33"/>
      <c r="C154" s="138" t="s">
        <v>245</v>
      </c>
      <c r="D154" s="138" t="s">
        <v>186</v>
      </c>
      <c r="E154" s="139" t="s">
        <v>258</v>
      </c>
      <c r="F154" s="140" t="s">
        <v>259</v>
      </c>
      <c r="G154" s="141" t="s">
        <v>189</v>
      </c>
      <c r="H154" s="142">
        <v>130.19999999999999</v>
      </c>
      <c r="I154" s="143">
        <v>38.18</v>
      </c>
      <c r="J154" s="144">
        <f>ROUND(I154*H154,2)</f>
        <v>4971.04</v>
      </c>
      <c r="K154" s="140" t="s">
        <v>1</v>
      </c>
      <c r="L154" s="33"/>
      <c r="M154" s="145" t="s">
        <v>1</v>
      </c>
      <c r="N154" s="146" t="s">
        <v>47</v>
      </c>
      <c r="O154" s="147">
        <v>2.9000000000000001E-2</v>
      </c>
      <c r="P154" s="147">
        <f>O154*H154</f>
        <v>3.7757999999999998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49" t="s">
        <v>191</v>
      </c>
      <c r="AT154" s="149" t="s">
        <v>186</v>
      </c>
      <c r="AU154" s="149" t="s">
        <v>20</v>
      </c>
      <c r="AY154" s="18" t="s">
        <v>184</v>
      </c>
      <c r="BE154" s="150">
        <f>IF(N154="základní",J154,0)</f>
        <v>4971.04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88</v>
      </c>
      <c r="BK154" s="150">
        <f>ROUND(I154*H154,2)</f>
        <v>4971.04</v>
      </c>
      <c r="BL154" s="18" t="s">
        <v>191</v>
      </c>
      <c r="BM154" s="149" t="s">
        <v>691</v>
      </c>
    </row>
    <row r="155" spans="2:65" s="1" customFormat="1" ht="19.5" x14ac:dyDescent="0.3">
      <c r="B155" s="33"/>
      <c r="D155" s="156" t="s">
        <v>236</v>
      </c>
      <c r="F155" s="170" t="s">
        <v>261</v>
      </c>
      <c r="I155" s="153"/>
      <c r="L155" s="33"/>
      <c r="M155" s="154"/>
      <c r="T155" s="57"/>
      <c r="AT155" s="18" t="s">
        <v>236</v>
      </c>
      <c r="AU155" s="18" t="s">
        <v>20</v>
      </c>
    </row>
    <row r="156" spans="2:65" s="12" customFormat="1" ht="11.25" x14ac:dyDescent="0.3">
      <c r="B156" s="155"/>
      <c r="D156" s="156" t="s">
        <v>195</v>
      </c>
      <c r="E156" s="157" t="s">
        <v>1</v>
      </c>
      <c r="F156" s="158" t="s">
        <v>692</v>
      </c>
      <c r="H156" s="159">
        <v>130.19999999999999</v>
      </c>
      <c r="I156" s="160"/>
      <c r="L156" s="155"/>
      <c r="M156" s="161"/>
      <c r="T156" s="162"/>
      <c r="AT156" s="157" t="s">
        <v>195</v>
      </c>
      <c r="AU156" s="157" t="s">
        <v>20</v>
      </c>
      <c r="AV156" s="12" t="s">
        <v>20</v>
      </c>
      <c r="AW156" s="12" t="s">
        <v>37</v>
      </c>
      <c r="AX156" s="12" t="s">
        <v>88</v>
      </c>
      <c r="AY156" s="157" t="s">
        <v>184</v>
      </c>
    </row>
    <row r="157" spans="2:65" s="11" customFormat="1" ht="22.9" customHeight="1" x14ac:dyDescent="0.2">
      <c r="B157" s="127"/>
      <c r="D157" s="128" t="s">
        <v>80</v>
      </c>
      <c r="E157" s="136" t="s">
        <v>214</v>
      </c>
      <c r="F157" s="136" t="s">
        <v>263</v>
      </c>
      <c r="I157" s="171"/>
      <c r="J157" s="137">
        <f>BK157</f>
        <v>277267.89</v>
      </c>
      <c r="L157" s="127"/>
      <c r="M157" s="131"/>
      <c r="P157" s="132">
        <f>SUM(P158:P178)</f>
        <v>88.333199999999991</v>
      </c>
      <c r="R157" s="132">
        <f>SUM(R158:R178)</f>
        <v>113.13703999999998</v>
      </c>
      <c r="T157" s="133">
        <f>SUM(T158:T178)</f>
        <v>0</v>
      </c>
      <c r="AR157" s="128" t="s">
        <v>88</v>
      </c>
      <c r="AT157" s="134" t="s">
        <v>80</v>
      </c>
      <c r="AU157" s="134" t="s">
        <v>88</v>
      </c>
      <c r="AY157" s="128" t="s">
        <v>184</v>
      </c>
      <c r="BK157" s="135">
        <f>SUM(BK158:BK178)</f>
        <v>277267.89</v>
      </c>
    </row>
    <row r="158" spans="2:65" s="1" customFormat="1" ht="24.2" customHeight="1" x14ac:dyDescent="0.3">
      <c r="B158" s="33"/>
      <c r="C158" s="138" t="s">
        <v>252</v>
      </c>
      <c r="D158" s="138" t="s">
        <v>186</v>
      </c>
      <c r="E158" s="139" t="s">
        <v>265</v>
      </c>
      <c r="F158" s="140" t="s">
        <v>266</v>
      </c>
      <c r="G158" s="141" t="s">
        <v>189</v>
      </c>
      <c r="H158" s="142">
        <v>130.19999999999999</v>
      </c>
      <c r="I158" s="143">
        <v>360.97</v>
      </c>
      <c r="J158" s="144">
        <f>ROUND(I158*H158,2)</f>
        <v>46998.29</v>
      </c>
      <c r="K158" s="140" t="s">
        <v>190</v>
      </c>
      <c r="L158" s="33"/>
      <c r="M158" s="145" t="s">
        <v>1</v>
      </c>
      <c r="N158" s="146" t="s">
        <v>47</v>
      </c>
      <c r="O158" s="147">
        <v>4.4999999999999998E-2</v>
      </c>
      <c r="P158" s="147">
        <f>O158*H158</f>
        <v>5.8589999999999991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49" t="s">
        <v>191</v>
      </c>
      <c r="AT158" s="149" t="s">
        <v>186</v>
      </c>
      <c r="AU158" s="149" t="s">
        <v>20</v>
      </c>
      <c r="AY158" s="18" t="s">
        <v>184</v>
      </c>
      <c r="BE158" s="150">
        <f>IF(N158="základní",J158,0)</f>
        <v>46998.29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8" t="s">
        <v>88</v>
      </c>
      <c r="BK158" s="150">
        <f>ROUND(I158*H158,2)</f>
        <v>46998.29</v>
      </c>
      <c r="BL158" s="18" t="s">
        <v>191</v>
      </c>
      <c r="BM158" s="149" t="s">
        <v>693</v>
      </c>
    </row>
    <row r="159" spans="2:65" s="1" customFormat="1" x14ac:dyDescent="0.3">
      <c r="B159" s="33"/>
      <c r="D159" s="151" t="s">
        <v>193</v>
      </c>
      <c r="F159" s="152" t="s">
        <v>268</v>
      </c>
      <c r="I159" s="153"/>
      <c r="L159" s="33"/>
      <c r="M159" s="154"/>
      <c r="T159" s="57"/>
      <c r="AT159" s="18" t="s">
        <v>193</v>
      </c>
      <c r="AU159" s="18" t="s">
        <v>20</v>
      </c>
    </row>
    <row r="160" spans="2:65" s="1" customFormat="1" ht="19.5" x14ac:dyDescent="0.3">
      <c r="B160" s="33"/>
      <c r="D160" s="156" t="s">
        <v>236</v>
      </c>
      <c r="F160" s="170" t="s">
        <v>261</v>
      </c>
      <c r="I160" s="153"/>
      <c r="L160" s="33"/>
      <c r="M160" s="154"/>
      <c r="T160" s="57"/>
      <c r="AT160" s="18" t="s">
        <v>236</v>
      </c>
      <c r="AU160" s="18" t="s">
        <v>20</v>
      </c>
    </row>
    <row r="161" spans="2:65" s="12" customFormat="1" ht="11.25" x14ac:dyDescent="0.3">
      <c r="B161" s="155"/>
      <c r="D161" s="156" t="s">
        <v>195</v>
      </c>
      <c r="E161" s="157" t="s">
        <v>1</v>
      </c>
      <c r="F161" s="158" t="s">
        <v>692</v>
      </c>
      <c r="H161" s="159">
        <v>130.19999999999999</v>
      </c>
      <c r="I161" s="160"/>
      <c r="L161" s="155"/>
      <c r="M161" s="161"/>
      <c r="T161" s="162"/>
      <c r="AT161" s="157" t="s">
        <v>195</v>
      </c>
      <c r="AU161" s="157" t="s">
        <v>20</v>
      </c>
      <c r="AV161" s="12" t="s">
        <v>20</v>
      </c>
      <c r="AW161" s="12" t="s">
        <v>37</v>
      </c>
      <c r="AX161" s="12" t="s">
        <v>88</v>
      </c>
      <c r="AY161" s="157" t="s">
        <v>184</v>
      </c>
    </row>
    <row r="162" spans="2:65" s="1" customFormat="1" ht="16.5" customHeight="1" x14ac:dyDescent="0.3">
      <c r="B162" s="33"/>
      <c r="C162" s="172" t="s">
        <v>257</v>
      </c>
      <c r="D162" s="172" t="s">
        <v>271</v>
      </c>
      <c r="E162" s="173" t="s">
        <v>272</v>
      </c>
      <c r="F162" s="174" t="s">
        <v>273</v>
      </c>
      <c r="G162" s="175" t="s">
        <v>248</v>
      </c>
      <c r="H162" s="176">
        <v>3.125</v>
      </c>
      <c r="I162" s="177">
        <v>7944.35</v>
      </c>
      <c r="J162" s="178">
        <f>ROUND(I162*H162,2)</f>
        <v>24826.09</v>
      </c>
      <c r="K162" s="174" t="s">
        <v>190</v>
      </c>
      <c r="L162" s="179"/>
      <c r="M162" s="180" t="s">
        <v>1</v>
      </c>
      <c r="N162" s="181" t="s">
        <v>47</v>
      </c>
      <c r="O162" s="147">
        <v>0</v>
      </c>
      <c r="P162" s="147">
        <f>O162*H162</f>
        <v>0</v>
      </c>
      <c r="Q162" s="147">
        <v>1</v>
      </c>
      <c r="R162" s="147">
        <f>Q162*H162</f>
        <v>3.125</v>
      </c>
      <c r="S162" s="147">
        <v>0</v>
      </c>
      <c r="T162" s="148">
        <f>S162*H162</f>
        <v>0</v>
      </c>
      <c r="AR162" s="149" t="s">
        <v>239</v>
      </c>
      <c r="AT162" s="149" t="s">
        <v>271</v>
      </c>
      <c r="AU162" s="149" t="s">
        <v>20</v>
      </c>
      <c r="AY162" s="18" t="s">
        <v>184</v>
      </c>
      <c r="BE162" s="150">
        <f>IF(N162="základní",J162,0)</f>
        <v>24826.09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8" t="s">
        <v>88</v>
      </c>
      <c r="BK162" s="150">
        <f>ROUND(I162*H162,2)</f>
        <v>24826.09</v>
      </c>
      <c r="BL162" s="18" t="s">
        <v>191</v>
      </c>
      <c r="BM162" s="149" t="s">
        <v>694</v>
      </c>
    </row>
    <row r="163" spans="2:65" s="12" customFormat="1" ht="11.25" x14ac:dyDescent="0.3">
      <c r="B163" s="155"/>
      <c r="D163" s="156" t="s">
        <v>195</v>
      </c>
      <c r="E163" s="157" t="s">
        <v>1</v>
      </c>
      <c r="F163" s="158" t="s">
        <v>695</v>
      </c>
      <c r="H163" s="159">
        <v>3.125</v>
      </c>
      <c r="I163" s="160"/>
      <c r="L163" s="155"/>
      <c r="M163" s="161"/>
      <c r="T163" s="162"/>
      <c r="AT163" s="157" t="s">
        <v>195</v>
      </c>
      <c r="AU163" s="157" t="s">
        <v>20</v>
      </c>
      <c r="AV163" s="12" t="s">
        <v>20</v>
      </c>
      <c r="AW163" s="12" t="s">
        <v>37</v>
      </c>
      <c r="AX163" s="12" t="s">
        <v>88</v>
      </c>
      <c r="AY163" s="157" t="s">
        <v>184</v>
      </c>
    </row>
    <row r="164" spans="2:65" s="1" customFormat="1" ht="16.5" customHeight="1" x14ac:dyDescent="0.3">
      <c r="B164" s="33"/>
      <c r="C164" s="138" t="s">
        <v>264</v>
      </c>
      <c r="D164" s="138" t="s">
        <v>186</v>
      </c>
      <c r="E164" s="139" t="s">
        <v>277</v>
      </c>
      <c r="F164" s="140" t="s">
        <v>278</v>
      </c>
      <c r="G164" s="141" t="s">
        <v>189</v>
      </c>
      <c r="H164" s="142">
        <v>130.19999999999999</v>
      </c>
      <c r="I164" s="143">
        <v>392.36</v>
      </c>
      <c r="J164" s="144">
        <f>ROUND(I164*H164,2)</f>
        <v>51085.27</v>
      </c>
      <c r="K164" s="140" t="s">
        <v>190</v>
      </c>
      <c r="L164" s="33"/>
      <c r="M164" s="145" t="s">
        <v>1</v>
      </c>
      <c r="N164" s="146" t="s">
        <v>47</v>
      </c>
      <c r="O164" s="147">
        <v>3.1E-2</v>
      </c>
      <c r="P164" s="147">
        <f>O164*H164</f>
        <v>4.0362</v>
      </c>
      <c r="Q164" s="147">
        <v>0.57499999999999996</v>
      </c>
      <c r="R164" s="147">
        <f>Q164*H164</f>
        <v>74.864999999999981</v>
      </c>
      <c r="S164" s="147">
        <v>0</v>
      </c>
      <c r="T164" s="148">
        <f>S164*H164</f>
        <v>0</v>
      </c>
      <c r="AR164" s="149" t="s">
        <v>191</v>
      </c>
      <c r="AT164" s="149" t="s">
        <v>186</v>
      </c>
      <c r="AU164" s="149" t="s">
        <v>20</v>
      </c>
      <c r="AY164" s="18" t="s">
        <v>184</v>
      </c>
      <c r="BE164" s="150">
        <f>IF(N164="základní",J164,0)</f>
        <v>51085.27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8" t="s">
        <v>88</v>
      </c>
      <c r="BK164" s="150">
        <f>ROUND(I164*H164,2)</f>
        <v>51085.27</v>
      </c>
      <c r="BL164" s="18" t="s">
        <v>191</v>
      </c>
      <c r="BM164" s="149" t="s">
        <v>696</v>
      </c>
    </row>
    <row r="165" spans="2:65" s="1" customFormat="1" x14ac:dyDescent="0.3">
      <c r="B165" s="33"/>
      <c r="D165" s="151" t="s">
        <v>193</v>
      </c>
      <c r="F165" s="152" t="s">
        <v>280</v>
      </c>
      <c r="I165" s="153"/>
      <c r="L165" s="33"/>
      <c r="M165" s="154"/>
      <c r="T165" s="57"/>
      <c r="AT165" s="18" t="s">
        <v>193</v>
      </c>
      <c r="AU165" s="18" t="s">
        <v>20</v>
      </c>
    </row>
    <row r="166" spans="2:65" s="1" customFormat="1" ht="19.5" x14ac:dyDescent="0.3">
      <c r="B166" s="33"/>
      <c r="D166" s="156" t="s">
        <v>236</v>
      </c>
      <c r="F166" s="170" t="s">
        <v>281</v>
      </c>
      <c r="I166" s="153"/>
      <c r="L166" s="33"/>
      <c r="M166" s="154"/>
      <c r="T166" s="57"/>
      <c r="AT166" s="18" t="s">
        <v>236</v>
      </c>
      <c r="AU166" s="18" t="s">
        <v>20</v>
      </c>
    </row>
    <row r="167" spans="2:65" s="12" customFormat="1" ht="11.25" x14ac:dyDescent="0.3">
      <c r="B167" s="155"/>
      <c r="D167" s="156" t="s">
        <v>195</v>
      </c>
      <c r="E167" s="157" t="s">
        <v>1</v>
      </c>
      <c r="F167" s="158" t="s">
        <v>697</v>
      </c>
      <c r="H167" s="159">
        <v>130.19999999999999</v>
      </c>
      <c r="I167" s="160"/>
      <c r="L167" s="155"/>
      <c r="M167" s="161"/>
      <c r="T167" s="162"/>
      <c r="AT167" s="157" t="s">
        <v>195</v>
      </c>
      <c r="AU167" s="157" t="s">
        <v>20</v>
      </c>
      <c r="AV167" s="12" t="s">
        <v>20</v>
      </c>
      <c r="AW167" s="12" t="s">
        <v>37</v>
      </c>
      <c r="AX167" s="12" t="s">
        <v>88</v>
      </c>
      <c r="AY167" s="157" t="s">
        <v>184</v>
      </c>
    </row>
    <row r="168" spans="2:65" s="1" customFormat="1" ht="21.75" customHeight="1" x14ac:dyDescent="0.3">
      <c r="B168" s="33"/>
      <c r="C168" s="138" t="s">
        <v>270</v>
      </c>
      <c r="D168" s="138" t="s">
        <v>186</v>
      </c>
      <c r="E168" s="139" t="s">
        <v>698</v>
      </c>
      <c r="F168" s="140" t="s">
        <v>699</v>
      </c>
      <c r="G168" s="141" t="s">
        <v>189</v>
      </c>
      <c r="H168" s="142">
        <v>130.19999999999999</v>
      </c>
      <c r="I168" s="143">
        <v>674.87</v>
      </c>
      <c r="J168" s="144">
        <f>ROUND(I168*H168,2)</f>
        <v>87868.07</v>
      </c>
      <c r="K168" s="140" t="s">
        <v>190</v>
      </c>
      <c r="L168" s="33"/>
      <c r="M168" s="145" t="s">
        <v>1</v>
      </c>
      <c r="N168" s="146" t="s">
        <v>47</v>
      </c>
      <c r="O168" s="147">
        <v>0.59</v>
      </c>
      <c r="P168" s="147">
        <f>O168*H168</f>
        <v>76.817999999999984</v>
      </c>
      <c r="Q168" s="147">
        <v>9.0620000000000006E-2</v>
      </c>
      <c r="R168" s="147">
        <f>Q168*H168</f>
        <v>11.798724</v>
      </c>
      <c r="S168" s="147">
        <v>0</v>
      </c>
      <c r="T168" s="148">
        <f>S168*H168</f>
        <v>0</v>
      </c>
      <c r="AR168" s="149" t="s">
        <v>191</v>
      </c>
      <c r="AT168" s="149" t="s">
        <v>186</v>
      </c>
      <c r="AU168" s="149" t="s">
        <v>20</v>
      </c>
      <c r="AY168" s="18" t="s">
        <v>184</v>
      </c>
      <c r="BE168" s="150">
        <f>IF(N168="základní",J168,0)</f>
        <v>87868.07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8" t="s">
        <v>88</v>
      </c>
      <c r="BK168" s="150">
        <f>ROUND(I168*H168,2)</f>
        <v>87868.07</v>
      </c>
      <c r="BL168" s="18" t="s">
        <v>191</v>
      </c>
      <c r="BM168" s="149" t="s">
        <v>700</v>
      </c>
    </row>
    <row r="169" spans="2:65" s="1" customFormat="1" x14ac:dyDescent="0.3">
      <c r="B169" s="33"/>
      <c r="D169" s="151" t="s">
        <v>193</v>
      </c>
      <c r="F169" s="152" t="s">
        <v>701</v>
      </c>
      <c r="I169" s="153"/>
      <c r="L169" s="33"/>
      <c r="M169" s="154"/>
      <c r="T169" s="57"/>
      <c r="AT169" s="18" t="s">
        <v>193</v>
      </c>
      <c r="AU169" s="18" t="s">
        <v>20</v>
      </c>
    </row>
    <row r="170" spans="2:65" s="12" customFormat="1" ht="11.25" x14ac:dyDescent="0.3">
      <c r="B170" s="155"/>
      <c r="D170" s="156" t="s">
        <v>195</v>
      </c>
      <c r="E170" s="157" t="s">
        <v>1</v>
      </c>
      <c r="F170" s="158" t="s">
        <v>702</v>
      </c>
      <c r="H170" s="159">
        <v>130.19999999999999</v>
      </c>
      <c r="I170" s="160"/>
      <c r="L170" s="155"/>
      <c r="M170" s="161"/>
      <c r="T170" s="162"/>
      <c r="AT170" s="157" t="s">
        <v>195</v>
      </c>
      <c r="AU170" s="157" t="s">
        <v>20</v>
      </c>
      <c r="AV170" s="12" t="s">
        <v>20</v>
      </c>
      <c r="AW170" s="12" t="s">
        <v>37</v>
      </c>
      <c r="AX170" s="12" t="s">
        <v>88</v>
      </c>
      <c r="AY170" s="157" t="s">
        <v>184</v>
      </c>
    </row>
    <row r="171" spans="2:65" s="1" customFormat="1" ht="16.5" customHeight="1" x14ac:dyDescent="0.3">
      <c r="B171" s="33"/>
      <c r="C171" s="172" t="s">
        <v>276</v>
      </c>
      <c r="D171" s="172" t="s">
        <v>271</v>
      </c>
      <c r="E171" s="173" t="s">
        <v>453</v>
      </c>
      <c r="F171" s="174" t="s">
        <v>454</v>
      </c>
      <c r="G171" s="175" t="s">
        <v>189</v>
      </c>
      <c r="H171" s="176">
        <v>105.866</v>
      </c>
      <c r="I171" s="177">
        <v>454.89</v>
      </c>
      <c r="J171" s="178">
        <f>ROUND(I171*H171,2)</f>
        <v>48157.38</v>
      </c>
      <c r="K171" s="174" t="s">
        <v>190</v>
      </c>
      <c r="L171" s="179"/>
      <c r="M171" s="180" t="s">
        <v>1</v>
      </c>
      <c r="N171" s="181" t="s">
        <v>47</v>
      </c>
      <c r="O171" s="147">
        <v>0</v>
      </c>
      <c r="P171" s="147">
        <f>O171*H171</f>
        <v>0</v>
      </c>
      <c r="Q171" s="147">
        <v>0.17599999999999999</v>
      </c>
      <c r="R171" s="147">
        <f>Q171*H171</f>
        <v>18.632415999999999</v>
      </c>
      <c r="S171" s="147">
        <v>0</v>
      </c>
      <c r="T171" s="148">
        <f>S171*H171</f>
        <v>0</v>
      </c>
      <c r="AR171" s="149" t="s">
        <v>239</v>
      </c>
      <c r="AT171" s="149" t="s">
        <v>271</v>
      </c>
      <c r="AU171" s="149" t="s">
        <v>20</v>
      </c>
      <c r="AY171" s="18" t="s">
        <v>184</v>
      </c>
      <c r="BE171" s="150">
        <f>IF(N171="základní",J171,0)</f>
        <v>48157.38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8" t="s">
        <v>88</v>
      </c>
      <c r="BK171" s="150">
        <f>ROUND(I171*H171,2)</f>
        <v>48157.38</v>
      </c>
      <c r="BL171" s="18" t="s">
        <v>191</v>
      </c>
      <c r="BM171" s="149" t="s">
        <v>703</v>
      </c>
    </row>
    <row r="172" spans="2:65" s="12" customFormat="1" ht="11.25" x14ac:dyDescent="0.3">
      <c r="B172" s="155"/>
      <c r="D172" s="156" t="s">
        <v>195</v>
      </c>
      <c r="E172" s="157" t="s">
        <v>1</v>
      </c>
      <c r="F172" s="158" t="s">
        <v>704</v>
      </c>
      <c r="H172" s="159">
        <v>103.79</v>
      </c>
      <c r="I172" s="160"/>
      <c r="L172" s="155"/>
      <c r="M172" s="161"/>
      <c r="T172" s="162"/>
      <c r="AT172" s="157" t="s">
        <v>195</v>
      </c>
      <c r="AU172" s="157" t="s">
        <v>20</v>
      </c>
      <c r="AV172" s="12" t="s">
        <v>20</v>
      </c>
      <c r="AW172" s="12" t="s">
        <v>37</v>
      </c>
      <c r="AX172" s="12" t="s">
        <v>81</v>
      </c>
      <c r="AY172" s="157" t="s">
        <v>184</v>
      </c>
    </row>
    <row r="173" spans="2:65" s="12" customFormat="1" ht="11.25" x14ac:dyDescent="0.3">
      <c r="B173" s="155"/>
      <c r="D173" s="156" t="s">
        <v>195</v>
      </c>
      <c r="E173" s="157" t="s">
        <v>1</v>
      </c>
      <c r="F173" s="158" t="s">
        <v>705</v>
      </c>
      <c r="H173" s="159">
        <v>105.866</v>
      </c>
      <c r="I173" s="160"/>
      <c r="L173" s="155"/>
      <c r="M173" s="161"/>
      <c r="T173" s="162"/>
      <c r="AT173" s="157" t="s">
        <v>195</v>
      </c>
      <c r="AU173" s="157" t="s">
        <v>20</v>
      </c>
      <c r="AV173" s="12" t="s">
        <v>20</v>
      </c>
      <c r="AW173" s="12" t="s">
        <v>37</v>
      </c>
      <c r="AX173" s="12" t="s">
        <v>88</v>
      </c>
      <c r="AY173" s="157" t="s">
        <v>184</v>
      </c>
    </row>
    <row r="174" spans="2:65" s="1" customFormat="1" ht="16.5" customHeight="1" x14ac:dyDescent="0.3">
      <c r="B174" s="33"/>
      <c r="C174" s="172" t="s">
        <v>7</v>
      </c>
      <c r="D174" s="172" t="s">
        <v>271</v>
      </c>
      <c r="E174" s="173" t="s">
        <v>706</v>
      </c>
      <c r="F174" s="174" t="s">
        <v>707</v>
      </c>
      <c r="G174" s="175" t="s">
        <v>189</v>
      </c>
      <c r="H174" s="176">
        <v>26.948</v>
      </c>
      <c r="I174" s="177">
        <v>647.85</v>
      </c>
      <c r="J174" s="178">
        <f>ROUND(I174*H174,2)</f>
        <v>17458.259999999998</v>
      </c>
      <c r="K174" s="174" t="s">
        <v>190</v>
      </c>
      <c r="L174" s="179"/>
      <c r="M174" s="180" t="s">
        <v>1</v>
      </c>
      <c r="N174" s="181" t="s">
        <v>47</v>
      </c>
      <c r="O174" s="147">
        <v>0</v>
      </c>
      <c r="P174" s="147">
        <f>O174*H174</f>
        <v>0</v>
      </c>
      <c r="Q174" s="147">
        <v>0.17499999999999999</v>
      </c>
      <c r="R174" s="147">
        <f>Q174*H174</f>
        <v>4.7158999999999995</v>
      </c>
      <c r="S174" s="147">
        <v>0</v>
      </c>
      <c r="T174" s="148">
        <f>S174*H174</f>
        <v>0</v>
      </c>
      <c r="AR174" s="149" t="s">
        <v>239</v>
      </c>
      <c r="AT174" s="149" t="s">
        <v>271</v>
      </c>
      <c r="AU174" s="149" t="s">
        <v>20</v>
      </c>
      <c r="AY174" s="18" t="s">
        <v>184</v>
      </c>
      <c r="BE174" s="150">
        <f>IF(N174="základní",J174,0)</f>
        <v>17458.259999999998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8" t="s">
        <v>88</v>
      </c>
      <c r="BK174" s="150">
        <f>ROUND(I174*H174,2)</f>
        <v>17458.259999999998</v>
      </c>
      <c r="BL174" s="18" t="s">
        <v>191</v>
      </c>
      <c r="BM174" s="149" t="s">
        <v>708</v>
      </c>
    </row>
    <row r="175" spans="2:65" s="12" customFormat="1" ht="11.25" x14ac:dyDescent="0.3">
      <c r="B175" s="155"/>
      <c r="D175" s="156" t="s">
        <v>195</v>
      </c>
      <c r="E175" s="157" t="s">
        <v>1</v>
      </c>
      <c r="F175" s="158" t="s">
        <v>709</v>
      </c>
      <c r="H175" s="159">
        <v>26.42</v>
      </c>
      <c r="I175" s="160"/>
      <c r="L175" s="155"/>
      <c r="M175" s="161"/>
      <c r="T175" s="162"/>
      <c r="AT175" s="157" t="s">
        <v>195</v>
      </c>
      <c r="AU175" s="157" t="s">
        <v>20</v>
      </c>
      <c r="AV175" s="12" t="s">
        <v>20</v>
      </c>
      <c r="AW175" s="12" t="s">
        <v>37</v>
      </c>
      <c r="AX175" s="12" t="s">
        <v>81</v>
      </c>
      <c r="AY175" s="157" t="s">
        <v>184</v>
      </c>
    </row>
    <row r="176" spans="2:65" s="12" customFormat="1" ht="11.25" x14ac:dyDescent="0.3">
      <c r="B176" s="155"/>
      <c r="D176" s="156" t="s">
        <v>195</v>
      </c>
      <c r="E176" s="157" t="s">
        <v>1</v>
      </c>
      <c r="F176" s="158" t="s">
        <v>710</v>
      </c>
      <c r="H176" s="159">
        <v>26.948</v>
      </c>
      <c r="I176" s="160"/>
      <c r="L176" s="155"/>
      <c r="M176" s="161"/>
      <c r="T176" s="162"/>
      <c r="AT176" s="157" t="s">
        <v>195</v>
      </c>
      <c r="AU176" s="157" t="s">
        <v>20</v>
      </c>
      <c r="AV176" s="12" t="s">
        <v>20</v>
      </c>
      <c r="AW176" s="12" t="s">
        <v>37</v>
      </c>
      <c r="AX176" s="12" t="s">
        <v>88</v>
      </c>
      <c r="AY176" s="157" t="s">
        <v>184</v>
      </c>
    </row>
    <row r="177" spans="2:65" s="1" customFormat="1" ht="21.75" customHeight="1" x14ac:dyDescent="0.3">
      <c r="B177" s="33"/>
      <c r="C177" s="138" t="s">
        <v>287</v>
      </c>
      <c r="D177" s="138" t="s">
        <v>186</v>
      </c>
      <c r="E177" s="139" t="s">
        <v>711</v>
      </c>
      <c r="F177" s="140" t="s">
        <v>712</v>
      </c>
      <c r="G177" s="141" t="s">
        <v>189</v>
      </c>
      <c r="H177" s="142">
        <v>27</v>
      </c>
      <c r="I177" s="143">
        <v>32.39</v>
      </c>
      <c r="J177" s="144">
        <f>ROUND(I177*H177,2)</f>
        <v>874.53</v>
      </c>
      <c r="K177" s="140" t="s">
        <v>190</v>
      </c>
      <c r="L177" s="33"/>
      <c r="M177" s="145" t="s">
        <v>1</v>
      </c>
      <c r="N177" s="146" t="s">
        <v>47</v>
      </c>
      <c r="O177" s="147">
        <v>0.06</v>
      </c>
      <c r="P177" s="147">
        <f>O177*H177</f>
        <v>1.6199999999999999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AR177" s="149" t="s">
        <v>191</v>
      </c>
      <c r="AT177" s="149" t="s">
        <v>186</v>
      </c>
      <c r="AU177" s="149" t="s">
        <v>20</v>
      </c>
      <c r="AY177" s="18" t="s">
        <v>184</v>
      </c>
      <c r="BE177" s="150">
        <f>IF(N177="základní",J177,0)</f>
        <v>874.53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8" t="s">
        <v>88</v>
      </c>
      <c r="BK177" s="150">
        <f>ROUND(I177*H177,2)</f>
        <v>874.53</v>
      </c>
      <c r="BL177" s="18" t="s">
        <v>191</v>
      </c>
      <c r="BM177" s="149" t="s">
        <v>713</v>
      </c>
    </row>
    <row r="178" spans="2:65" s="1" customFormat="1" x14ac:dyDescent="0.3">
      <c r="B178" s="33"/>
      <c r="D178" s="151" t="s">
        <v>193</v>
      </c>
      <c r="F178" s="152" t="s">
        <v>714</v>
      </c>
      <c r="I178" s="153"/>
      <c r="L178" s="33"/>
      <c r="M178" s="154"/>
      <c r="T178" s="57"/>
      <c r="AT178" s="18" t="s">
        <v>193</v>
      </c>
      <c r="AU178" s="18" t="s">
        <v>20</v>
      </c>
    </row>
    <row r="179" spans="2:65" s="11" customFormat="1" ht="22.9" customHeight="1" x14ac:dyDescent="0.2">
      <c r="B179" s="127"/>
      <c r="D179" s="128" t="s">
        <v>80</v>
      </c>
      <c r="E179" s="136" t="s">
        <v>245</v>
      </c>
      <c r="F179" s="136" t="s">
        <v>304</v>
      </c>
      <c r="I179" s="171"/>
      <c r="J179" s="137">
        <f>BK179</f>
        <v>43336.17</v>
      </c>
      <c r="L179" s="127"/>
      <c r="M179" s="131"/>
      <c r="P179" s="132">
        <f>SUM(P180:P191)</f>
        <v>19.31476</v>
      </c>
      <c r="R179" s="132">
        <f>SUM(R180:R191)</f>
        <v>14.735497700000002</v>
      </c>
      <c r="T179" s="133">
        <f>SUM(T180:T191)</f>
        <v>0</v>
      </c>
      <c r="AR179" s="128" t="s">
        <v>88</v>
      </c>
      <c r="AT179" s="134" t="s">
        <v>80</v>
      </c>
      <c r="AU179" s="134" t="s">
        <v>88</v>
      </c>
      <c r="AY179" s="128" t="s">
        <v>184</v>
      </c>
      <c r="BK179" s="135">
        <f>SUM(BK180:BK191)</f>
        <v>43336.17</v>
      </c>
    </row>
    <row r="180" spans="2:65" s="1" customFormat="1" ht="16.5" customHeight="1" x14ac:dyDescent="0.3">
      <c r="B180" s="33"/>
      <c r="C180" s="138" t="s">
        <v>293</v>
      </c>
      <c r="D180" s="138" t="s">
        <v>186</v>
      </c>
      <c r="E180" s="139" t="s">
        <v>306</v>
      </c>
      <c r="F180" s="140" t="s">
        <v>307</v>
      </c>
      <c r="G180" s="141" t="s">
        <v>210</v>
      </c>
      <c r="H180" s="142">
        <v>72.069999999999993</v>
      </c>
      <c r="I180" s="143">
        <v>414.33</v>
      </c>
      <c r="J180" s="144">
        <f>ROUND(I180*H180,2)</f>
        <v>29860.76</v>
      </c>
      <c r="K180" s="140" t="s">
        <v>190</v>
      </c>
      <c r="L180" s="33"/>
      <c r="M180" s="145" t="s">
        <v>1</v>
      </c>
      <c r="N180" s="146" t="s">
        <v>47</v>
      </c>
      <c r="O180" s="147">
        <v>0.26800000000000002</v>
      </c>
      <c r="P180" s="147">
        <f>O180*H180</f>
        <v>19.31476</v>
      </c>
      <c r="Q180" s="147">
        <v>0.15540000000000001</v>
      </c>
      <c r="R180" s="147">
        <f>Q180*H180</f>
        <v>11.199678</v>
      </c>
      <c r="S180" s="147">
        <v>0</v>
      </c>
      <c r="T180" s="148">
        <f>S180*H180</f>
        <v>0</v>
      </c>
      <c r="AR180" s="149" t="s">
        <v>191</v>
      </c>
      <c r="AT180" s="149" t="s">
        <v>186</v>
      </c>
      <c r="AU180" s="149" t="s">
        <v>20</v>
      </c>
      <c r="AY180" s="18" t="s">
        <v>184</v>
      </c>
      <c r="BE180" s="150">
        <f>IF(N180="základní",J180,0)</f>
        <v>29860.76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8" t="s">
        <v>88</v>
      </c>
      <c r="BK180" s="150">
        <f>ROUND(I180*H180,2)</f>
        <v>29860.76</v>
      </c>
      <c r="BL180" s="18" t="s">
        <v>191</v>
      </c>
      <c r="BM180" s="149" t="s">
        <v>715</v>
      </c>
    </row>
    <row r="181" spans="2:65" s="1" customFormat="1" x14ac:dyDescent="0.3">
      <c r="B181" s="33"/>
      <c r="D181" s="151" t="s">
        <v>193</v>
      </c>
      <c r="F181" s="152" t="s">
        <v>309</v>
      </c>
      <c r="I181" s="153"/>
      <c r="L181" s="33"/>
      <c r="M181" s="154"/>
      <c r="T181" s="57"/>
      <c r="AT181" s="18" t="s">
        <v>193</v>
      </c>
      <c r="AU181" s="18" t="s">
        <v>20</v>
      </c>
    </row>
    <row r="182" spans="2:65" s="12" customFormat="1" ht="11.25" x14ac:dyDescent="0.3">
      <c r="B182" s="155"/>
      <c r="D182" s="156" t="s">
        <v>195</v>
      </c>
      <c r="E182" s="157" t="s">
        <v>1</v>
      </c>
      <c r="F182" s="158" t="s">
        <v>716</v>
      </c>
      <c r="H182" s="159">
        <v>72.069999999999993</v>
      </c>
      <c r="I182" s="160"/>
      <c r="L182" s="155"/>
      <c r="M182" s="161"/>
      <c r="T182" s="162"/>
      <c r="AT182" s="157" t="s">
        <v>195</v>
      </c>
      <c r="AU182" s="157" t="s">
        <v>20</v>
      </c>
      <c r="AV182" s="12" t="s">
        <v>20</v>
      </c>
      <c r="AW182" s="12" t="s">
        <v>37</v>
      </c>
      <c r="AX182" s="12" t="s">
        <v>88</v>
      </c>
      <c r="AY182" s="157" t="s">
        <v>184</v>
      </c>
    </row>
    <row r="183" spans="2:65" s="1" customFormat="1" ht="16.5" customHeight="1" x14ac:dyDescent="0.3">
      <c r="B183" s="33"/>
      <c r="C183" s="172" t="s">
        <v>299</v>
      </c>
      <c r="D183" s="172" t="s">
        <v>271</v>
      </c>
      <c r="E183" s="173" t="s">
        <v>312</v>
      </c>
      <c r="F183" s="174" t="s">
        <v>313</v>
      </c>
      <c r="G183" s="175" t="s">
        <v>210</v>
      </c>
      <c r="H183" s="176">
        <v>7.5380000000000003</v>
      </c>
      <c r="I183" s="177">
        <v>182.84</v>
      </c>
      <c r="J183" s="178">
        <f>ROUND(I183*H183,2)</f>
        <v>1378.25</v>
      </c>
      <c r="K183" s="174" t="s">
        <v>190</v>
      </c>
      <c r="L183" s="179"/>
      <c r="M183" s="180" t="s">
        <v>1</v>
      </c>
      <c r="N183" s="181" t="s">
        <v>47</v>
      </c>
      <c r="O183" s="147">
        <v>0</v>
      </c>
      <c r="P183" s="147">
        <f>O183*H183</f>
        <v>0</v>
      </c>
      <c r="Q183" s="147">
        <v>0.08</v>
      </c>
      <c r="R183" s="147">
        <f>Q183*H183</f>
        <v>0.60304000000000002</v>
      </c>
      <c r="S183" s="147">
        <v>0</v>
      </c>
      <c r="T183" s="148">
        <f>S183*H183</f>
        <v>0</v>
      </c>
      <c r="AR183" s="149" t="s">
        <v>239</v>
      </c>
      <c r="AT183" s="149" t="s">
        <v>271</v>
      </c>
      <c r="AU183" s="149" t="s">
        <v>20</v>
      </c>
      <c r="AY183" s="18" t="s">
        <v>184</v>
      </c>
      <c r="BE183" s="150">
        <f>IF(N183="základní",J183,0)</f>
        <v>1378.25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8" t="s">
        <v>88</v>
      </c>
      <c r="BK183" s="150">
        <f>ROUND(I183*H183,2)</f>
        <v>1378.25</v>
      </c>
      <c r="BL183" s="18" t="s">
        <v>191</v>
      </c>
      <c r="BM183" s="149" t="s">
        <v>717</v>
      </c>
    </row>
    <row r="184" spans="2:65" s="12" customFormat="1" ht="11.25" x14ac:dyDescent="0.3">
      <c r="B184" s="155"/>
      <c r="D184" s="156" t="s">
        <v>195</v>
      </c>
      <c r="E184" s="157" t="s">
        <v>1</v>
      </c>
      <c r="F184" s="158" t="s">
        <v>718</v>
      </c>
      <c r="H184" s="159">
        <v>7.39</v>
      </c>
      <c r="I184" s="160"/>
      <c r="L184" s="155"/>
      <c r="M184" s="161"/>
      <c r="T184" s="162"/>
      <c r="AT184" s="157" t="s">
        <v>195</v>
      </c>
      <c r="AU184" s="157" t="s">
        <v>20</v>
      </c>
      <c r="AV184" s="12" t="s">
        <v>20</v>
      </c>
      <c r="AW184" s="12" t="s">
        <v>37</v>
      </c>
      <c r="AX184" s="12" t="s">
        <v>81</v>
      </c>
      <c r="AY184" s="157" t="s">
        <v>184</v>
      </c>
    </row>
    <row r="185" spans="2:65" s="12" customFormat="1" ht="11.25" x14ac:dyDescent="0.3">
      <c r="B185" s="155"/>
      <c r="D185" s="156" t="s">
        <v>195</v>
      </c>
      <c r="E185" s="157" t="s">
        <v>1</v>
      </c>
      <c r="F185" s="158" t="s">
        <v>719</v>
      </c>
      <c r="H185" s="159">
        <v>7.5380000000000003</v>
      </c>
      <c r="I185" s="160"/>
      <c r="L185" s="155"/>
      <c r="M185" s="161"/>
      <c r="T185" s="162"/>
      <c r="AT185" s="157" t="s">
        <v>195</v>
      </c>
      <c r="AU185" s="157" t="s">
        <v>20</v>
      </c>
      <c r="AV185" s="12" t="s">
        <v>20</v>
      </c>
      <c r="AW185" s="12" t="s">
        <v>37</v>
      </c>
      <c r="AX185" s="12" t="s">
        <v>88</v>
      </c>
      <c r="AY185" s="157" t="s">
        <v>184</v>
      </c>
    </row>
    <row r="186" spans="2:65" s="1" customFormat="1" ht="16.5" customHeight="1" x14ac:dyDescent="0.3">
      <c r="B186" s="33"/>
      <c r="C186" s="172" t="s">
        <v>305</v>
      </c>
      <c r="D186" s="172" t="s">
        <v>271</v>
      </c>
      <c r="E186" s="173" t="s">
        <v>317</v>
      </c>
      <c r="F186" s="174" t="s">
        <v>318</v>
      </c>
      <c r="G186" s="175" t="s">
        <v>210</v>
      </c>
      <c r="H186" s="176">
        <v>30.864999999999998</v>
      </c>
      <c r="I186" s="177">
        <v>228.36</v>
      </c>
      <c r="J186" s="178">
        <f>ROUND(I186*H186,2)</f>
        <v>7048.33</v>
      </c>
      <c r="K186" s="174" t="s">
        <v>190</v>
      </c>
      <c r="L186" s="179"/>
      <c r="M186" s="180" t="s">
        <v>1</v>
      </c>
      <c r="N186" s="181" t="s">
        <v>47</v>
      </c>
      <c r="O186" s="147">
        <v>0</v>
      </c>
      <c r="P186" s="147">
        <f>O186*H186</f>
        <v>0</v>
      </c>
      <c r="Q186" s="147">
        <v>0.04</v>
      </c>
      <c r="R186" s="147">
        <f>Q186*H186</f>
        <v>1.2345999999999999</v>
      </c>
      <c r="S186" s="147">
        <v>0</v>
      </c>
      <c r="T186" s="148">
        <f>S186*H186</f>
        <v>0</v>
      </c>
      <c r="AR186" s="149" t="s">
        <v>239</v>
      </c>
      <c r="AT186" s="149" t="s">
        <v>271</v>
      </c>
      <c r="AU186" s="149" t="s">
        <v>20</v>
      </c>
      <c r="AY186" s="18" t="s">
        <v>184</v>
      </c>
      <c r="BE186" s="150">
        <f>IF(N186="základní",J186,0)</f>
        <v>7048.33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8" t="s">
        <v>88</v>
      </c>
      <c r="BK186" s="150">
        <f>ROUND(I186*H186,2)</f>
        <v>7048.33</v>
      </c>
      <c r="BL186" s="18" t="s">
        <v>191</v>
      </c>
      <c r="BM186" s="149" t="s">
        <v>720</v>
      </c>
    </row>
    <row r="187" spans="2:65" s="12" customFormat="1" ht="11.25" x14ac:dyDescent="0.3">
      <c r="B187" s="155"/>
      <c r="D187" s="156" t="s">
        <v>195</v>
      </c>
      <c r="E187" s="157" t="s">
        <v>1</v>
      </c>
      <c r="F187" s="158" t="s">
        <v>721</v>
      </c>
      <c r="H187" s="159">
        <v>30.26</v>
      </c>
      <c r="I187" s="160"/>
      <c r="L187" s="155"/>
      <c r="M187" s="161"/>
      <c r="T187" s="162"/>
      <c r="AT187" s="157" t="s">
        <v>195</v>
      </c>
      <c r="AU187" s="157" t="s">
        <v>20</v>
      </c>
      <c r="AV187" s="12" t="s">
        <v>20</v>
      </c>
      <c r="AW187" s="12" t="s">
        <v>37</v>
      </c>
      <c r="AX187" s="12" t="s">
        <v>81</v>
      </c>
      <c r="AY187" s="157" t="s">
        <v>184</v>
      </c>
    </row>
    <row r="188" spans="2:65" s="12" customFormat="1" ht="11.25" x14ac:dyDescent="0.3">
      <c r="B188" s="155"/>
      <c r="D188" s="156" t="s">
        <v>195</v>
      </c>
      <c r="E188" s="157" t="s">
        <v>1</v>
      </c>
      <c r="F188" s="158" t="s">
        <v>722</v>
      </c>
      <c r="H188" s="159">
        <v>30.864999999999998</v>
      </c>
      <c r="I188" s="160"/>
      <c r="L188" s="155"/>
      <c r="M188" s="161"/>
      <c r="T188" s="162"/>
      <c r="AT188" s="157" t="s">
        <v>195</v>
      </c>
      <c r="AU188" s="157" t="s">
        <v>20</v>
      </c>
      <c r="AV188" s="12" t="s">
        <v>20</v>
      </c>
      <c r="AW188" s="12" t="s">
        <v>37</v>
      </c>
      <c r="AX188" s="12" t="s">
        <v>88</v>
      </c>
      <c r="AY188" s="157" t="s">
        <v>184</v>
      </c>
    </row>
    <row r="189" spans="2:65" s="1" customFormat="1" ht="16.5" customHeight="1" x14ac:dyDescent="0.3">
      <c r="B189" s="33"/>
      <c r="C189" s="172" t="s">
        <v>311</v>
      </c>
      <c r="D189" s="172" t="s">
        <v>271</v>
      </c>
      <c r="E189" s="173" t="s">
        <v>323</v>
      </c>
      <c r="F189" s="174" t="s">
        <v>324</v>
      </c>
      <c r="G189" s="175" t="s">
        <v>210</v>
      </c>
      <c r="H189" s="176">
        <v>35.158999999999999</v>
      </c>
      <c r="I189" s="177">
        <v>143.6</v>
      </c>
      <c r="J189" s="178">
        <f>ROUND(I189*H189,2)</f>
        <v>5048.83</v>
      </c>
      <c r="K189" s="174" t="s">
        <v>190</v>
      </c>
      <c r="L189" s="179"/>
      <c r="M189" s="180" t="s">
        <v>1</v>
      </c>
      <c r="N189" s="181" t="s">
        <v>47</v>
      </c>
      <c r="O189" s="147">
        <v>0</v>
      </c>
      <c r="P189" s="147">
        <f>O189*H189</f>
        <v>0</v>
      </c>
      <c r="Q189" s="147">
        <v>4.8300000000000003E-2</v>
      </c>
      <c r="R189" s="147">
        <f>Q189*H189</f>
        <v>1.6981797000000001</v>
      </c>
      <c r="S189" s="147">
        <v>0</v>
      </c>
      <c r="T189" s="148">
        <f>S189*H189</f>
        <v>0</v>
      </c>
      <c r="AR189" s="149" t="s">
        <v>239</v>
      </c>
      <c r="AT189" s="149" t="s">
        <v>271</v>
      </c>
      <c r="AU189" s="149" t="s">
        <v>20</v>
      </c>
      <c r="AY189" s="18" t="s">
        <v>184</v>
      </c>
      <c r="BE189" s="150">
        <f>IF(N189="základní",J189,0)</f>
        <v>5048.83</v>
      </c>
      <c r="BF189" s="150">
        <f>IF(N189="snížená",J189,0)</f>
        <v>0</v>
      </c>
      <c r="BG189" s="150">
        <f>IF(N189="zákl. přenesená",J189,0)</f>
        <v>0</v>
      </c>
      <c r="BH189" s="150">
        <f>IF(N189="sníž. přenesená",J189,0)</f>
        <v>0</v>
      </c>
      <c r="BI189" s="150">
        <f>IF(N189="nulová",J189,0)</f>
        <v>0</v>
      </c>
      <c r="BJ189" s="18" t="s">
        <v>88</v>
      </c>
      <c r="BK189" s="150">
        <f>ROUND(I189*H189,2)</f>
        <v>5048.83</v>
      </c>
      <c r="BL189" s="18" t="s">
        <v>191</v>
      </c>
      <c r="BM189" s="149" t="s">
        <v>723</v>
      </c>
    </row>
    <row r="190" spans="2:65" s="12" customFormat="1" ht="11.25" x14ac:dyDescent="0.3">
      <c r="B190" s="155"/>
      <c r="D190" s="156" t="s">
        <v>195</v>
      </c>
      <c r="E190" s="157" t="s">
        <v>1</v>
      </c>
      <c r="F190" s="158" t="s">
        <v>724</v>
      </c>
      <c r="H190" s="159">
        <v>34.47</v>
      </c>
      <c r="I190" s="160"/>
      <c r="L190" s="155"/>
      <c r="M190" s="161"/>
      <c r="T190" s="162"/>
      <c r="AT190" s="157" t="s">
        <v>195</v>
      </c>
      <c r="AU190" s="157" t="s">
        <v>20</v>
      </c>
      <c r="AV190" s="12" t="s">
        <v>20</v>
      </c>
      <c r="AW190" s="12" t="s">
        <v>37</v>
      </c>
      <c r="AX190" s="12" t="s">
        <v>81</v>
      </c>
      <c r="AY190" s="157" t="s">
        <v>184</v>
      </c>
    </row>
    <row r="191" spans="2:65" s="12" customFormat="1" ht="11.25" x14ac:dyDescent="0.3">
      <c r="B191" s="155"/>
      <c r="D191" s="156" t="s">
        <v>195</v>
      </c>
      <c r="E191" s="157" t="s">
        <v>1</v>
      </c>
      <c r="F191" s="158" t="s">
        <v>725</v>
      </c>
      <c r="H191" s="159">
        <v>35.158999999999999</v>
      </c>
      <c r="I191" s="160"/>
      <c r="L191" s="155"/>
      <c r="M191" s="161"/>
      <c r="T191" s="162"/>
      <c r="AT191" s="157" t="s">
        <v>195</v>
      </c>
      <c r="AU191" s="157" t="s">
        <v>20</v>
      </c>
      <c r="AV191" s="12" t="s">
        <v>20</v>
      </c>
      <c r="AW191" s="12" t="s">
        <v>37</v>
      </c>
      <c r="AX191" s="12" t="s">
        <v>88</v>
      </c>
      <c r="AY191" s="157" t="s">
        <v>184</v>
      </c>
    </row>
    <row r="192" spans="2:65" s="11" customFormat="1" ht="22.9" customHeight="1" x14ac:dyDescent="0.2">
      <c r="B192" s="127"/>
      <c r="D192" s="128" t="s">
        <v>80</v>
      </c>
      <c r="E192" s="136" t="s">
        <v>358</v>
      </c>
      <c r="F192" s="136" t="s">
        <v>359</v>
      </c>
      <c r="I192" s="171"/>
      <c r="J192" s="137">
        <f>BK192</f>
        <v>43854.080000000002</v>
      </c>
      <c r="L192" s="127"/>
      <c r="M192" s="131"/>
      <c r="P192" s="132">
        <f>SUM(P193:P201)</f>
        <v>144.93408299999999</v>
      </c>
      <c r="R192" s="132">
        <f>SUM(R193:R201)</f>
        <v>0</v>
      </c>
      <c r="T192" s="133">
        <f>SUM(T193:T201)</f>
        <v>0</v>
      </c>
      <c r="AR192" s="128" t="s">
        <v>88</v>
      </c>
      <c r="AT192" s="134" t="s">
        <v>80</v>
      </c>
      <c r="AU192" s="134" t="s">
        <v>88</v>
      </c>
      <c r="AY192" s="128" t="s">
        <v>184</v>
      </c>
      <c r="BK192" s="135">
        <f>SUM(BK193:BK201)</f>
        <v>43854.080000000002</v>
      </c>
    </row>
    <row r="193" spans="2:65" s="1" customFormat="1" ht="16.5" customHeight="1" x14ac:dyDescent="0.3">
      <c r="B193" s="33"/>
      <c r="C193" s="138" t="s">
        <v>6</v>
      </c>
      <c r="D193" s="138" t="s">
        <v>186</v>
      </c>
      <c r="E193" s="139" t="s">
        <v>361</v>
      </c>
      <c r="F193" s="140" t="s">
        <v>362</v>
      </c>
      <c r="G193" s="141" t="s">
        <v>248</v>
      </c>
      <c r="H193" s="142">
        <v>147.77699999999999</v>
      </c>
      <c r="I193" s="143">
        <v>178.35</v>
      </c>
      <c r="J193" s="144">
        <f>ROUND(I193*H193,2)</f>
        <v>26356.03</v>
      </c>
      <c r="K193" s="140" t="s">
        <v>190</v>
      </c>
      <c r="L193" s="33"/>
      <c r="M193" s="145" t="s">
        <v>1</v>
      </c>
      <c r="N193" s="146" t="s">
        <v>47</v>
      </c>
      <c r="O193" s="147">
        <v>0.83499999999999996</v>
      </c>
      <c r="P193" s="147">
        <f>O193*H193</f>
        <v>123.39379499999998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AR193" s="149" t="s">
        <v>191</v>
      </c>
      <c r="AT193" s="149" t="s">
        <v>186</v>
      </c>
      <c r="AU193" s="149" t="s">
        <v>20</v>
      </c>
      <c r="AY193" s="18" t="s">
        <v>184</v>
      </c>
      <c r="BE193" s="150">
        <f>IF(N193="základní",J193,0)</f>
        <v>26356.03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8" t="s">
        <v>88</v>
      </c>
      <c r="BK193" s="150">
        <f>ROUND(I193*H193,2)</f>
        <v>26356.03</v>
      </c>
      <c r="BL193" s="18" t="s">
        <v>191</v>
      </c>
      <c r="BM193" s="149" t="s">
        <v>726</v>
      </c>
    </row>
    <row r="194" spans="2:65" s="1" customFormat="1" x14ac:dyDescent="0.3">
      <c r="B194" s="33"/>
      <c r="D194" s="151" t="s">
        <v>193</v>
      </c>
      <c r="F194" s="152" t="s">
        <v>364</v>
      </c>
      <c r="I194" s="153"/>
      <c r="L194" s="33"/>
      <c r="M194" s="154"/>
      <c r="T194" s="57"/>
      <c r="AT194" s="18" t="s">
        <v>193</v>
      </c>
      <c r="AU194" s="18" t="s">
        <v>20</v>
      </c>
    </row>
    <row r="195" spans="2:65" s="1" customFormat="1" ht="19.5" x14ac:dyDescent="0.3">
      <c r="B195" s="33"/>
      <c r="D195" s="156" t="s">
        <v>236</v>
      </c>
      <c r="F195" s="170" t="s">
        <v>365</v>
      </c>
      <c r="I195" s="153"/>
      <c r="L195" s="33"/>
      <c r="M195" s="154"/>
      <c r="T195" s="57"/>
      <c r="AT195" s="18" t="s">
        <v>236</v>
      </c>
      <c r="AU195" s="18" t="s">
        <v>20</v>
      </c>
    </row>
    <row r="196" spans="2:65" s="12" customFormat="1" ht="11.25" x14ac:dyDescent="0.3">
      <c r="B196" s="155"/>
      <c r="D196" s="156" t="s">
        <v>195</v>
      </c>
      <c r="E196" s="157" t="s">
        <v>1</v>
      </c>
      <c r="F196" s="158" t="s">
        <v>727</v>
      </c>
      <c r="H196" s="159">
        <v>114.57599999999999</v>
      </c>
      <c r="I196" s="160"/>
      <c r="L196" s="155"/>
      <c r="M196" s="161"/>
      <c r="T196" s="162"/>
      <c r="AT196" s="157" t="s">
        <v>195</v>
      </c>
      <c r="AU196" s="157" t="s">
        <v>20</v>
      </c>
      <c r="AV196" s="12" t="s">
        <v>20</v>
      </c>
      <c r="AW196" s="12" t="s">
        <v>37</v>
      </c>
      <c r="AX196" s="12" t="s">
        <v>81</v>
      </c>
      <c r="AY196" s="157" t="s">
        <v>184</v>
      </c>
    </row>
    <row r="197" spans="2:65" s="12" customFormat="1" ht="11.25" x14ac:dyDescent="0.3">
      <c r="B197" s="155"/>
      <c r="D197" s="156" t="s">
        <v>195</v>
      </c>
      <c r="E197" s="157" t="s">
        <v>1</v>
      </c>
      <c r="F197" s="158" t="s">
        <v>728</v>
      </c>
      <c r="H197" s="159">
        <v>33.201000000000001</v>
      </c>
      <c r="I197" s="160"/>
      <c r="L197" s="155"/>
      <c r="M197" s="161"/>
      <c r="T197" s="162"/>
      <c r="AT197" s="157" t="s">
        <v>195</v>
      </c>
      <c r="AU197" s="157" t="s">
        <v>20</v>
      </c>
      <c r="AV197" s="12" t="s">
        <v>20</v>
      </c>
      <c r="AW197" s="12" t="s">
        <v>37</v>
      </c>
      <c r="AX197" s="12" t="s">
        <v>81</v>
      </c>
      <c r="AY197" s="157" t="s">
        <v>184</v>
      </c>
    </row>
    <row r="198" spans="2:65" s="13" customFormat="1" ht="11.25" x14ac:dyDescent="0.3">
      <c r="B198" s="163"/>
      <c r="D198" s="156" t="s">
        <v>195</v>
      </c>
      <c r="E198" s="164" t="s">
        <v>1</v>
      </c>
      <c r="F198" s="165" t="s">
        <v>230</v>
      </c>
      <c r="H198" s="166">
        <v>147.77699999999999</v>
      </c>
      <c r="I198" s="167"/>
      <c r="L198" s="163"/>
      <c r="M198" s="168"/>
      <c r="T198" s="169"/>
      <c r="AT198" s="164" t="s">
        <v>195</v>
      </c>
      <c r="AU198" s="164" t="s">
        <v>20</v>
      </c>
      <c r="AV198" s="13" t="s">
        <v>191</v>
      </c>
      <c r="AW198" s="13" t="s">
        <v>37</v>
      </c>
      <c r="AX198" s="13" t="s">
        <v>88</v>
      </c>
      <c r="AY198" s="164" t="s">
        <v>184</v>
      </c>
    </row>
    <row r="199" spans="2:65" s="1" customFormat="1" ht="16.5" customHeight="1" x14ac:dyDescent="0.3">
      <c r="B199" s="33"/>
      <c r="C199" s="138" t="s">
        <v>322</v>
      </c>
      <c r="D199" s="138" t="s">
        <v>186</v>
      </c>
      <c r="E199" s="139" t="s">
        <v>369</v>
      </c>
      <c r="F199" s="140" t="s">
        <v>370</v>
      </c>
      <c r="G199" s="141" t="s">
        <v>248</v>
      </c>
      <c r="H199" s="142">
        <v>57.287999999999997</v>
      </c>
      <c r="I199" s="143">
        <v>305.44</v>
      </c>
      <c r="J199" s="144">
        <f>ROUND(I199*H199,2)</f>
        <v>17498.05</v>
      </c>
      <c r="K199" s="140" t="s">
        <v>190</v>
      </c>
      <c r="L199" s="33"/>
      <c r="M199" s="145" t="s">
        <v>1</v>
      </c>
      <c r="N199" s="146" t="s">
        <v>47</v>
      </c>
      <c r="O199" s="147">
        <v>0.376</v>
      </c>
      <c r="P199" s="147">
        <f>O199*H199</f>
        <v>21.540288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AR199" s="149" t="s">
        <v>191</v>
      </c>
      <c r="AT199" s="149" t="s">
        <v>186</v>
      </c>
      <c r="AU199" s="149" t="s">
        <v>20</v>
      </c>
      <c r="AY199" s="18" t="s">
        <v>184</v>
      </c>
      <c r="BE199" s="150">
        <f>IF(N199="základní",J199,0)</f>
        <v>17498.05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8" t="s">
        <v>88</v>
      </c>
      <c r="BK199" s="150">
        <f>ROUND(I199*H199,2)</f>
        <v>17498.05</v>
      </c>
      <c r="BL199" s="18" t="s">
        <v>191</v>
      </c>
      <c r="BM199" s="149" t="s">
        <v>729</v>
      </c>
    </row>
    <row r="200" spans="2:65" s="1" customFormat="1" x14ac:dyDescent="0.3">
      <c r="B200" s="33"/>
      <c r="D200" s="151" t="s">
        <v>193</v>
      </c>
      <c r="F200" s="152" t="s">
        <v>372</v>
      </c>
      <c r="I200" s="153"/>
      <c r="L200" s="33"/>
      <c r="M200" s="154"/>
      <c r="T200" s="57"/>
      <c r="AT200" s="18" t="s">
        <v>193</v>
      </c>
      <c r="AU200" s="18" t="s">
        <v>20</v>
      </c>
    </row>
    <row r="201" spans="2:65" s="12" customFormat="1" ht="11.25" x14ac:dyDescent="0.3">
      <c r="B201" s="155"/>
      <c r="D201" s="156" t="s">
        <v>195</v>
      </c>
      <c r="E201" s="157" t="s">
        <v>1</v>
      </c>
      <c r="F201" s="158" t="s">
        <v>730</v>
      </c>
      <c r="H201" s="159">
        <v>57.287999999999997</v>
      </c>
      <c r="I201" s="160"/>
      <c r="L201" s="155"/>
      <c r="M201" s="161"/>
      <c r="T201" s="162"/>
      <c r="AT201" s="157" t="s">
        <v>195</v>
      </c>
      <c r="AU201" s="157" t="s">
        <v>20</v>
      </c>
      <c r="AV201" s="12" t="s">
        <v>20</v>
      </c>
      <c r="AW201" s="12" t="s">
        <v>37</v>
      </c>
      <c r="AX201" s="12" t="s">
        <v>88</v>
      </c>
      <c r="AY201" s="157" t="s">
        <v>184</v>
      </c>
    </row>
    <row r="202" spans="2:65" s="11" customFormat="1" ht="22.9" customHeight="1" x14ac:dyDescent="0.2">
      <c r="B202" s="127"/>
      <c r="D202" s="128" t="s">
        <v>80</v>
      </c>
      <c r="E202" s="136" t="s">
        <v>374</v>
      </c>
      <c r="F202" s="136" t="s">
        <v>375</v>
      </c>
      <c r="I202" s="171"/>
      <c r="J202" s="137">
        <f>BK202</f>
        <v>39057.53</v>
      </c>
      <c r="L202" s="127"/>
      <c r="M202" s="131"/>
      <c r="P202" s="132">
        <f>SUM(P203:P204)</f>
        <v>50.765581000000005</v>
      </c>
      <c r="R202" s="132">
        <f>SUM(R203:R204)</f>
        <v>0</v>
      </c>
      <c r="T202" s="133">
        <f>SUM(T203:T204)</f>
        <v>0</v>
      </c>
      <c r="AR202" s="128" t="s">
        <v>88</v>
      </c>
      <c r="AT202" s="134" t="s">
        <v>80</v>
      </c>
      <c r="AU202" s="134" t="s">
        <v>88</v>
      </c>
      <c r="AY202" s="128" t="s">
        <v>184</v>
      </c>
      <c r="BK202" s="135">
        <f>SUM(BK203:BK204)</f>
        <v>39057.53</v>
      </c>
    </row>
    <row r="203" spans="2:65" s="1" customFormat="1" ht="16.5" customHeight="1" x14ac:dyDescent="0.3">
      <c r="B203" s="33"/>
      <c r="C203" s="138" t="s">
        <v>328</v>
      </c>
      <c r="D203" s="138" t="s">
        <v>186</v>
      </c>
      <c r="E203" s="139" t="s">
        <v>377</v>
      </c>
      <c r="F203" s="140" t="s">
        <v>378</v>
      </c>
      <c r="G203" s="141" t="s">
        <v>248</v>
      </c>
      <c r="H203" s="142">
        <v>127.873</v>
      </c>
      <c r="I203" s="143">
        <v>305.44</v>
      </c>
      <c r="J203" s="144">
        <f>ROUND(I203*H203,2)</f>
        <v>39057.53</v>
      </c>
      <c r="K203" s="140" t="s">
        <v>190</v>
      </c>
      <c r="L203" s="33"/>
      <c r="M203" s="145" t="s">
        <v>1</v>
      </c>
      <c r="N203" s="146" t="s">
        <v>47</v>
      </c>
      <c r="O203" s="147">
        <v>0.39700000000000002</v>
      </c>
      <c r="P203" s="147">
        <f>O203*H203</f>
        <v>50.765581000000005</v>
      </c>
      <c r="Q203" s="147">
        <v>0</v>
      </c>
      <c r="R203" s="147">
        <f>Q203*H203</f>
        <v>0</v>
      </c>
      <c r="S203" s="147">
        <v>0</v>
      </c>
      <c r="T203" s="148">
        <f>S203*H203</f>
        <v>0</v>
      </c>
      <c r="AR203" s="149" t="s">
        <v>191</v>
      </c>
      <c r="AT203" s="149" t="s">
        <v>186</v>
      </c>
      <c r="AU203" s="149" t="s">
        <v>20</v>
      </c>
      <c r="AY203" s="18" t="s">
        <v>184</v>
      </c>
      <c r="BE203" s="150">
        <f>IF(N203="základní",J203,0)</f>
        <v>39057.53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8" t="s">
        <v>88</v>
      </c>
      <c r="BK203" s="150">
        <f>ROUND(I203*H203,2)</f>
        <v>39057.53</v>
      </c>
      <c r="BL203" s="18" t="s">
        <v>191</v>
      </c>
      <c r="BM203" s="149" t="s">
        <v>731</v>
      </c>
    </row>
    <row r="204" spans="2:65" s="1" customFormat="1" x14ac:dyDescent="0.3">
      <c r="B204" s="33"/>
      <c r="D204" s="151" t="s">
        <v>193</v>
      </c>
      <c r="F204" s="152" t="s">
        <v>380</v>
      </c>
      <c r="I204" s="153"/>
      <c r="L204" s="33"/>
      <c r="M204" s="189"/>
      <c r="N204" s="190"/>
      <c r="O204" s="190"/>
      <c r="P204" s="190"/>
      <c r="Q204" s="190"/>
      <c r="R204" s="190"/>
      <c r="S204" s="190"/>
      <c r="T204" s="191"/>
      <c r="AT204" s="18" t="s">
        <v>193</v>
      </c>
      <c r="AU204" s="18" t="s">
        <v>20</v>
      </c>
    </row>
    <row r="205" spans="2:65" s="1" customFormat="1" ht="6.95" customHeight="1" x14ac:dyDescent="0.3">
      <c r="B205" s="45"/>
      <c r="C205" s="46"/>
      <c r="D205" s="46"/>
      <c r="E205" s="46"/>
      <c r="F205" s="46"/>
      <c r="G205" s="46"/>
      <c r="H205" s="46"/>
      <c r="I205" s="188"/>
      <c r="J205" s="46"/>
      <c r="K205" s="46"/>
      <c r="L205" s="33"/>
    </row>
  </sheetData>
  <sheetProtection sheet="1" objects="1" scenarios="1"/>
  <autoFilter ref="C121:K204" xr:uid="{CC9DE357-1AE8-4381-BBB7-9C10E9CECEE4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hyperlinks>
    <hyperlink ref="F126" r:id="rId1" xr:uid="{E0559DC0-9911-47B1-8A44-8EDE9DEF9432}"/>
    <hyperlink ref="F129" r:id="rId2" xr:uid="{38D515C3-84F2-497C-915C-5A36D0B295C7}"/>
    <hyperlink ref="F132" r:id="rId3" xr:uid="{E84F565B-83CD-458C-89ED-596B77EC5D64}"/>
    <hyperlink ref="F135" r:id="rId4" xr:uid="{DA7A5B45-F52B-471C-AD63-FAF05FE51914}"/>
    <hyperlink ref="F142" r:id="rId5" xr:uid="{49563F05-1291-4774-AAB9-EF00F11FE334}"/>
    <hyperlink ref="F146" r:id="rId6" xr:uid="{576EBB5F-51F3-45C7-BED5-2D57F8A46140}"/>
    <hyperlink ref="F150" r:id="rId7" xr:uid="{663012AE-CF41-4437-A84B-1151EBA3B99B}"/>
    <hyperlink ref="F153" r:id="rId8" xr:uid="{6EC87E8B-9BFE-4890-B5FD-BF0ABDC0B654}"/>
    <hyperlink ref="F159" r:id="rId9" xr:uid="{423720D1-59CA-4B40-A348-080A3F0809BF}"/>
    <hyperlink ref="F165" r:id="rId10" xr:uid="{63B73EDA-F86C-4B9E-93EE-24AB5A224DD2}"/>
    <hyperlink ref="F169" r:id="rId11" xr:uid="{EA2A12CE-F8AB-4D88-915F-D1303A8220C3}"/>
    <hyperlink ref="F178" r:id="rId12" xr:uid="{A3815906-7AEC-46D0-837C-81383F2DAD95}"/>
    <hyperlink ref="F181" r:id="rId13" xr:uid="{E08E631B-0CDF-443F-B084-1318BC59B33D}"/>
    <hyperlink ref="F194" r:id="rId14" xr:uid="{5D2AA8E2-540F-4AB7-A322-540EFD979386}"/>
    <hyperlink ref="F200" r:id="rId15" xr:uid="{887F1237-CB91-4E42-8486-D021BCF04DC5}"/>
    <hyperlink ref="F204" r:id="rId16" xr:uid="{0DE2103E-9558-4840-B459-2CC4150A42CE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1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FE7F-7665-445C-B4C5-E3C444168711}">
  <sheetPr>
    <tabColor indexed="53"/>
    <pageSetUpPr fitToPage="1"/>
  </sheetPr>
  <dimension ref="B2:BM356"/>
  <sheetViews>
    <sheetView showGridLines="0" topLeftCell="A285" zoomScaleNormal="100" workbookViewId="0">
      <selection activeCell="F164" sqref="F164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104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732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18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154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 t="s">
        <v>1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ROUND(J127, 2)</f>
        <v>5346339.88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ROUND((SUM(BE127:BE355)),  2)</f>
        <v>5346339.88</v>
      </c>
      <c r="I33" s="99">
        <v>0.21</v>
      </c>
      <c r="J33" s="98">
        <f>ROUND(((SUM(BE127:BE355))*I33),  2)</f>
        <v>1122731.3700000001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ROUND((SUM(BF127:BF355)),  2)</f>
        <v>0</v>
      </c>
      <c r="I34" s="99">
        <v>0.15</v>
      </c>
      <c r="J34" s="98">
        <f>ROUND(((SUM(BF127:BF355))*I34),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ROUND((SUM(BG127:BG355)),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ROUND((SUM(BH127:BH355)),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ROUND((SUM(BI127:BI355)),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6469071.25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303.I - Odvodnění komunikace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J127</f>
        <v>5346339.88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160</v>
      </c>
      <c r="E97" s="113"/>
      <c r="F97" s="113"/>
      <c r="G97" s="113"/>
      <c r="H97" s="113"/>
      <c r="I97" s="113"/>
      <c r="J97" s="114">
        <f>J128</f>
        <v>5258323.7300000004</v>
      </c>
      <c r="L97" s="111"/>
    </row>
    <row r="98" spans="2:12" s="9" customFormat="1" ht="19.899999999999999" customHeight="1" x14ac:dyDescent="0.3">
      <c r="B98" s="115"/>
      <c r="D98" s="116" t="s">
        <v>161</v>
      </c>
      <c r="E98" s="117"/>
      <c r="F98" s="117"/>
      <c r="G98" s="117"/>
      <c r="H98" s="117"/>
      <c r="I98" s="117"/>
      <c r="J98" s="118">
        <f>J129</f>
        <v>1986330.38</v>
      </c>
      <c r="L98" s="115"/>
    </row>
    <row r="99" spans="2:12" s="9" customFormat="1" ht="19.899999999999999" customHeight="1" x14ac:dyDescent="0.3">
      <c r="B99" s="115"/>
      <c r="D99" s="116" t="s">
        <v>733</v>
      </c>
      <c r="E99" s="117"/>
      <c r="F99" s="117"/>
      <c r="G99" s="117"/>
      <c r="H99" s="117"/>
      <c r="I99" s="117"/>
      <c r="J99" s="118">
        <f>J197</f>
        <v>103232.33</v>
      </c>
      <c r="L99" s="115"/>
    </row>
    <row r="100" spans="2:12" s="9" customFormat="1" ht="19.899999999999999" customHeight="1" x14ac:dyDescent="0.3">
      <c r="B100" s="115"/>
      <c r="D100" s="116" t="s">
        <v>734</v>
      </c>
      <c r="E100" s="117"/>
      <c r="F100" s="117"/>
      <c r="G100" s="117"/>
      <c r="H100" s="117"/>
      <c r="I100" s="117"/>
      <c r="J100" s="118">
        <f>J211</f>
        <v>2198908.83</v>
      </c>
      <c r="L100" s="115"/>
    </row>
    <row r="101" spans="2:12" s="9" customFormat="1" ht="19.899999999999999" customHeight="1" x14ac:dyDescent="0.3">
      <c r="B101" s="115"/>
      <c r="D101" s="116" t="s">
        <v>163</v>
      </c>
      <c r="E101" s="117"/>
      <c r="F101" s="117"/>
      <c r="G101" s="117"/>
      <c r="H101" s="117"/>
      <c r="I101" s="117"/>
      <c r="J101" s="118">
        <f>J304</f>
        <v>139821.25999999998</v>
      </c>
      <c r="L101" s="115"/>
    </row>
    <row r="102" spans="2:12" s="9" customFormat="1" ht="19.899999999999999" customHeight="1" x14ac:dyDescent="0.3">
      <c r="B102" s="115"/>
      <c r="D102" s="116" t="s">
        <v>164</v>
      </c>
      <c r="E102" s="117"/>
      <c r="F102" s="117"/>
      <c r="G102" s="117"/>
      <c r="H102" s="117"/>
      <c r="I102" s="117"/>
      <c r="J102" s="118">
        <f>J318</f>
        <v>134263.65</v>
      </c>
      <c r="L102" s="115"/>
    </row>
    <row r="103" spans="2:12" s="9" customFormat="1" ht="19.899999999999999" customHeight="1" x14ac:dyDescent="0.3">
      <c r="B103" s="115"/>
      <c r="D103" s="116" t="s">
        <v>165</v>
      </c>
      <c r="E103" s="117"/>
      <c r="F103" s="117"/>
      <c r="G103" s="117"/>
      <c r="H103" s="117"/>
      <c r="I103" s="117"/>
      <c r="J103" s="118">
        <f>J333</f>
        <v>695767.28</v>
      </c>
      <c r="L103" s="115"/>
    </row>
    <row r="104" spans="2:12" s="8" customFormat="1" ht="24.95" customHeight="1" x14ac:dyDescent="0.3">
      <c r="B104" s="111"/>
      <c r="D104" s="112" t="s">
        <v>166</v>
      </c>
      <c r="E104" s="113"/>
      <c r="F104" s="113"/>
      <c r="G104" s="113"/>
      <c r="H104" s="113"/>
      <c r="I104" s="113"/>
      <c r="J104" s="114">
        <f>J336</f>
        <v>23811.35</v>
      </c>
      <c r="L104" s="111"/>
    </row>
    <row r="105" spans="2:12" s="9" customFormat="1" ht="19.899999999999999" customHeight="1" x14ac:dyDescent="0.3">
      <c r="B105" s="115"/>
      <c r="D105" s="116" t="s">
        <v>735</v>
      </c>
      <c r="E105" s="117"/>
      <c r="F105" s="117"/>
      <c r="G105" s="117"/>
      <c r="H105" s="117"/>
      <c r="I105" s="117"/>
      <c r="J105" s="118">
        <f>J337</f>
        <v>23811.35</v>
      </c>
      <c r="L105" s="115"/>
    </row>
    <row r="106" spans="2:12" s="8" customFormat="1" ht="24.95" customHeight="1" x14ac:dyDescent="0.3">
      <c r="B106" s="111"/>
      <c r="D106" s="112" t="s">
        <v>736</v>
      </c>
      <c r="E106" s="113"/>
      <c r="F106" s="113"/>
      <c r="G106" s="113"/>
      <c r="H106" s="113"/>
      <c r="I106" s="113"/>
      <c r="J106" s="114">
        <f>J343</f>
        <v>64204.800000000003</v>
      </c>
      <c r="L106" s="111"/>
    </row>
    <row r="107" spans="2:12" s="9" customFormat="1" ht="19.899999999999999" customHeight="1" x14ac:dyDescent="0.3">
      <c r="B107" s="115"/>
      <c r="D107" s="116" t="s">
        <v>737</v>
      </c>
      <c r="E107" s="117"/>
      <c r="F107" s="117"/>
      <c r="G107" s="117"/>
      <c r="H107" s="117"/>
      <c r="I107" s="117"/>
      <c r="J107" s="118">
        <f>J344</f>
        <v>64204.800000000003</v>
      </c>
      <c r="L107" s="115"/>
    </row>
    <row r="108" spans="2:12" s="1" customFormat="1" ht="21.75" customHeight="1" x14ac:dyDescent="0.3">
      <c r="B108" s="33"/>
      <c r="L108" s="33"/>
    </row>
    <row r="109" spans="2:12" s="1" customFormat="1" ht="6.95" customHeight="1" x14ac:dyDescent="0.3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3"/>
    </row>
    <row r="113" spans="2:63" s="1" customFormat="1" ht="6.95" customHeight="1" x14ac:dyDescent="0.3"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33"/>
    </row>
    <row r="114" spans="2:63" s="1" customFormat="1" ht="24.95" customHeight="1" x14ac:dyDescent="0.3">
      <c r="B114" s="33"/>
      <c r="C114" s="22" t="s">
        <v>168</v>
      </c>
      <c r="L114" s="33"/>
    </row>
    <row r="115" spans="2:63" s="1" customFormat="1" ht="6.95" customHeight="1" x14ac:dyDescent="0.3">
      <c r="B115" s="33"/>
      <c r="L115" s="33"/>
    </row>
    <row r="116" spans="2:63" s="1" customFormat="1" ht="12" customHeight="1" x14ac:dyDescent="0.3">
      <c r="B116" s="33"/>
      <c r="C116" s="28" t="s">
        <v>15</v>
      </c>
      <c r="L116" s="33"/>
    </row>
    <row r="117" spans="2:63" s="1" customFormat="1" ht="16.5" customHeight="1" x14ac:dyDescent="0.3">
      <c r="B117" s="33"/>
      <c r="E117" s="324" t="str">
        <f>E7</f>
        <v>Obnova ulice Tyršova, Dobrovice - I. etapa</v>
      </c>
      <c r="F117" s="325"/>
      <c r="G117" s="325"/>
      <c r="H117" s="325"/>
      <c r="L117" s="33"/>
    </row>
    <row r="118" spans="2:63" s="1" customFormat="1" ht="12" customHeight="1" x14ac:dyDescent="0.3">
      <c r="B118" s="33"/>
      <c r="C118" s="28" t="s">
        <v>152</v>
      </c>
      <c r="L118" s="33"/>
    </row>
    <row r="119" spans="2:63" s="1" customFormat="1" ht="16.5" customHeight="1" x14ac:dyDescent="0.3">
      <c r="B119" s="33"/>
      <c r="E119" s="308" t="str">
        <f>E9</f>
        <v>SO 303.I - Odvodnění komunikace I. etapa</v>
      </c>
      <c r="F119" s="326"/>
      <c r="G119" s="326"/>
      <c r="H119" s="326"/>
      <c r="L119" s="33"/>
    </row>
    <row r="120" spans="2:63" s="1" customFormat="1" ht="6.95" customHeight="1" x14ac:dyDescent="0.3">
      <c r="B120" s="33"/>
      <c r="L120" s="33"/>
    </row>
    <row r="121" spans="2:63" s="1" customFormat="1" ht="12" customHeight="1" x14ac:dyDescent="0.3">
      <c r="B121" s="33"/>
      <c r="C121" s="28" t="s">
        <v>21</v>
      </c>
      <c r="F121" s="26" t="str">
        <f>F12</f>
        <v>Dobrovice</v>
      </c>
      <c r="I121" s="28" t="s">
        <v>23</v>
      </c>
      <c r="J121" s="53">
        <f>IF(J12="","",J12)</f>
        <v>45678</v>
      </c>
      <c r="L121" s="33"/>
    </row>
    <row r="122" spans="2:63" s="1" customFormat="1" ht="6.95" customHeight="1" x14ac:dyDescent="0.3">
      <c r="B122" s="33"/>
      <c r="L122" s="33"/>
    </row>
    <row r="123" spans="2:63" s="1" customFormat="1" ht="25.7" customHeight="1" x14ac:dyDescent="0.3">
      <c r="B123" s="33"/>
      <c r="C123" s="28" t="s">
        <v>28</v>
      </c>
      <c r="F123" s="26" t="str">
        <f>E15</f>
        <v>Město Dobrovice, Palckého nám. 28, 294 41</v>
      </c>
      <c r="I123" s="28" t="s">
        <v>34</v>
      </c>
      <c r="J123" s="96" t="str">
        <f>E21</f>
        <v>Ing. arch. Martin Jirovský Ph.D., MBA</v>
      </c>
      <c r="L123" s="33"/>
    </row>
    <row r="124" spans="2:63" s="1" customFormat="1" ht="40.15" customHeight="1" x14ac:dyDescent="0.3">
      <c r="B124" s="33"/>
      <c r="C124" s="28" t="s">
        <v>33</v>
      </c>
      <c r="F124" s="26">
        <f>IF(E18="","",E18)</f>
        <v>0</v>
      </c>
      <c r="I124" s="28" t="s">
        <v>38</v>
      </c>
      <c r="J124" s="96" t="str">
        <f>E24</f>
        <v>ROAD M.A.A.T. s.r.o., Petra Stejskalová</v>
      </c>
      <c r="L124" s="33"/>
    </row>
    <row r="125" spans="2:63" s="1" customFormat="1" ht="10.35" customHeight="1" x14ac:dyDescent="0.3">
      <c r="B125" s="33"/>
      <c r="L125" s="33"/>
    </row>
    <row r="126" spans="2:63" s="10" customFormat="1" ht="29.25" customHeight="1" x14ac:dyDescent="0.3">
      <c r="B126" s="119"/>
      <c r="C126" s="120" t="s">
        <v>169</v>
      </c>
      <c r="D126" s="121" t="s">
        <v>66</v>
      </c>
      <c r="E126" s="121" t="s">
        <v>63</v>
      </c>
      <c r="F126" s="121" t="s">
        <v>170</v>
      </c>
      <c r="G126" s="121" t="s">
        <v>171</v>
      </c>
      <c r="H126" s="121" t="s">
        <v>172</v>
      </c>
      <c r="I126" s="121" t="s">
        <v>173</v>
      </c>
      <c r="J126" s="121" t="s">
        <v>157</v>
      </c>
      <c r="K126" s="122" t="s">
        <v>174</v>
      </c>
      <c r="L126" s="119"/>
      <c r="M126" s="60" t="s">
        <v>1</v>
      </c>
      <c r="N126" s="61" t="s">
        <v>46</v>
      </c>
      <c r="O126" s="61" t="s">
        <v>175</v>
      </c>
      <c r="P126" s="61" t="s">
        <v>176</v>
      </c>
      <c r="Q126" s="61" t="s">
        <v>177</v>
      </c>
      <c r="R126" s="61" t="s">
        <v>178</v>
      </c>
      <c r="S126" s="61" t="s">
        <v>179</v>
      </c>
      <c r="T126" s="62" t="s">
        <v>180</v>
      </c>
    </row>
    <row r="127" spans="2:63" s="1" customFormat="1" ht="22.9" customHeight="1" x14ac:dyDescent="0.25">
      <c r="B127" s="33"/>
      <c r="C127" s="65" t="s">
        <v>181</v>
      </c>
      <c r="J127" s="123">
        <f>BK127</f>
        <v>5346339.88</v>
      </c>
      <c r="L127" s="33"/>
      <c r="M127" s="63"/>
      <c r="N127" s="54"/>
      <c r="O127" s="54"/>
      <c r="P127" s="124">
        <f>P128+P336+P343</f>
        <v>4924.5076999999992</v>
      </c>
      <c r="Q127" s="54"/>
      <c r="R127" s="124">
        <f>R128+R336+R343</f>
        <v>1139.0212635999999</v>
      </c>
      <c r="S127" s="54"/>
      <c r="T127" s="125">
        <f>T128+T336+T343</f>
        <v>271.62808000000001</v>
      </c>
      <c r="AT127" s="18" t="s">
        <v>80</v>
      </c>
      <c r="AU127" s="18" t="s">
        <v>159</v>
      </c>
      <c r="BK127" s="126">
        <f>BK128+BK336+BK343</f>
        <v>5346339.88</v>
      </c>
    </row>
    <row r="128" spans="2:63" s="11" customFormat="1" ht="25.9" customHeight="1" x14ac:dyDescent="0.2">
      <c r="B128" s="127"/>
      <c r="D128" s="128" t="s">
        <v>80</v>
      </c>
      <c r="E128" s="129" t="s">
        <v>182</v>
      </c>
      <c r="F128" s="129" t="s">
        <v>183</v>
      </c>
      <c r="J128" s="130">
        <f>BK128</f>
        <v>5258323.7300000004</v>
      </c>
      <c r="L128" s="127"/>
      <c r="M128" s="131"/>
      <c r="P128" s="132">
        <f>P129+P197+P211+P304+P318+P333</f>
        <v>4922.8085599999995</v>
      </c>
      <c r="R128" s="132">
        <f>R129+R197+R211+R304+R318+R333</f>
        <v>1138.9594635999999</v>
      </c>
      <c r="T128" s="133">
        <f>T129+T197+T211+T304+T318+T333</f>
        <v>271.62808000000001</v>
      </c>
      <c r="AR128" s="128" t="s">
        <v>88</v>
      </c>
      <c r="AT128" s="134" t="s">
        <v>80</v>
      </c>
      <c r="AU128" s="134" t="s">
        <v>81</v>
      </c>
      <c r="AY128" s="128" t="s">
        <v>184</v>
      </c>
      <c r="BK128" s="135">
        <f>BK129+BK197+BK211+BK304+BK318+BK333</f>
        <v>5258323.7300000004</v>
      </c>
    </row>
    <row r="129" spans="2:65" s="11" customFormat="1" ht="22.9" customHeight="1" x14ac:dyDescent="0.2">
      <c r="B129" s="127"/>
      <c r="D129" s="128" t="s">
        <v>80</v>
      </c>
      <c r="E129" s="136" t="s">
        <v>88</v>
      </c>
      <c r="F129" s="136" t="s">
        <v>185</v>
      </c>
      <c r="J129" s="137">
        <f>BK129</f>
        <v>1986330.38</v>
      </c>
      <c r="L129" s="127"/>
      <c r="M129" s="131"/>
      <c r="P129" s="132">
        <f>SUM(P130:P196)</f>
        <v>1024.7138369999998</v>
      </c>
      <c r="R129" s="132">
        <f>SUM(R130:R196)</f>
        <v>983.11828800000012</v>
      </c>
      <c r="T129" s="133">
        <f>SUM(T130:T196)</f>
        <v>269.76292000000001</v>
      </c>
      <c r="AR129" s="128" t="s">
        <v>88</v>
      </c>
      <c r="AT129" s="134" t="s">
        <v>80</v>
      </c>
      <c r="AU129" s="134" t="s">
        <v>88</v>
      </c>
      <c r="AY129" s="128" t="s">
        <v>184</v>
      </c>
      <c r="BK129" s="135">
        <f>SUM(BK130:BK196)</f>
        <v>1986330.38</v>
      </c>
    </row>
    <row r="130" spans="2:65" s="1" customFormat="1" ht="21.75" customHeight="1" x14ac:dyDescent="0.3">
      <c r="B130" s="33"/>
      <c r="C130" s="138" t="s">
        <v>88</v>
      </c>
      <c r="D130" s="138" t="s">
        <v>186</v>
      </c>
      <c r="E130" s="139" t="s">
        <v>738</v>
      </c>
      <c r="F130" s="140" t="s">
        <v>739</v>
      </c>
      <c r="G130" s="141" t="s">
        <v>189</v>
      </c>
      <c r="H130" s="142">
        <v>242.84</v>
      </c>
      <c r="I130" s="143">
        <v>76.36</v>
      </c>
      <c r="J130" s="144">
        <f>ROUND(I130*H130,2)</f>
        <v>18543.259999999998</v>
      </c>
      <c r="K130" s="140" t="s">
        <v>190</v>
      </c>
      <c r="L130" s="33"/>
      <c r="M130" s="145" t="s">
        <v>1</v>
      </c>
      <c r="N130" s="146" t="s">
        <v>47</v>
      </c>
      <c r="O130" s="147">
        <v>3.6999999999999998E-2</v>
      </c>
      <c r="P130" s="147">
        <f>O130*H130</f>
        <v>8.98508</v>
      </c>
      <c r="Q130" s="147">
        <v>0</v>
      </c>
      <c r="R130" s="147">
        <f>Q130*H130</f>
        <v>0</v>
      </c>
      <c r="S130" s="147">
        <v>0.38800000000000001</v>
      </c>
      <c r="T130" s="148">
        <f>S130*H130</f>
        <v>94.221919999999997</v>
      </c>
      <c r="AR130" s="149" t="s">
        <v>191</v>
      </c>
      <c r="AT130" s="149" t="s">
        <v>186</v>
      </c>
      <c r="AU130" s="149" t="s">
        <v>20</v>
      </c>
      <c r="AY130" s="18" t="s">
        <v>184</v>
      </c>
      <c r="BE130" s="150">
        <f>IF(N130="základní",J130,0)</f>
        <v>18543.259999999998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8" t="s">
        <v>88</v>
      </c>
      <c r="BK130" s="150">
        <f>ROUND(I130*H130,2)</f>
        <v>18543.259999999998</v>
      </c>
      <c r="BL130" s="18" t="s">
        <v>191</v>
      </c>
      <c r="BM130" s="149" t="s">
        <v>740</v>
      </c>
    </row>
    <row r="131" spans="2:65" s="1" customFormat="1" x14ac:dyDescent="0.3">
      <c r="B131" s="33"/>
      <c r="D131" s="151" t="s">
        <v>193</v>
      </c>
      <c r="F131" s="152" t="s">
        <v>741</v>
      </c>
      <c r="I131" s="153"/>
      <c r="L131" s="33"/>
      <c r="M131" s="154"/>
      <c r="T131" s="57"/>
      <c r="AT131" s="18" t="s">
        <v>193</v>
      </c>
      <c r="AU131" s="18" t="s">
        <v>20</v>
      </c>
    </row>
    <row r="132" spans="2:65" s="12" customFormat="1" ht="11.25" x14ac:dyDescent="0.3">
      <c r="B132" s="155"/>
      <c r="D132" s="156" t="s">
        <v>195</v>
      </c>
      <c r="E132" s="157" t="s">
        <v>1</v>
      </c>
      <c r="F132" s="158" t="s">
        <v>742</v>
      </c>
      <c r="H132" s="159">
        <v>242.84</v>
      </c>
      <c r="I132" s="160"/>
      <c r="L132" s="155"/>
      <c r="M132" s="161"/>
      <c r="T132" s="162"/>
      <c r="AT132" s="157" t="s">
        <v>195</v>
      </c>
      <c r="AU132" s="157" t="s">
        <v>20</v>
      </c>
      <c r="AV132" s="12" t="s">
        <v>20</v>
      </c>
      <c r="AW132" s="12" t="s">
        <v>37</v>
      </c>
      <c r="AX132" s="12" t="s">
        <v>88</v>
      </c>
      <c r="AY132" s="157" t="s">
        <v>184</v>
      </c>
    </row>
    <row r="133" spans="2:65" s="1" customFormat="1" ht="24.2" customHeight="1" x14ac:dyDescent="0.3">
      <c r="B133" s="33"/>
      <c r="C133" s="138" t="s">
        <v>20</v>
      </c>
      <c r="D133" s="138" t="s">
        <v>186</v>
      </c>
      <c r="E133" s="139" t="s">
        <v>743</v>
      </c>
      <c r="F133" s="140" t="s">
        <v>744</v>
      </c>
      <c r="G133" s="141" t="s">
        <v>189</v>
      </c>
      <c r="H133" s="142">
        <v>242.84</v>
      </c>
      <c r="I133" s="143">
        <v>229.08</v>
      </c>
      <c r="J133" s="144">
        <f>ROUND(I133*H133,2)</f>
        <v>55629.79</v>
      </c>
      <c r="K133" s="140" t="s">
        <v>190</v>
      </c>
      <c r="L133" s="33"/>
      <c r="M133" s="145" t="s">
        <v>1</v>
      </c>
      <c r="N133" s="146" t="s">
        <v>47</v>
      </c>
      <c r="O133" s="147">
        <v>0.315</v>
      </c>
      <c r="P133" s="147">
        <f>O133*H133</f>
        <v>76.494600000000005</v>
      </c>
      <c r="Q133" s="147">
        <v>0</v>
      </c>
      <c r="R133" s="147">
        <f>Q133*H133</f>
        <v>0</v>
      </c>
      <c r="S133" s="147">
        <v>0.62</v>
      </c>
      <c r="T133" s="148">
        <f>S133*H133</f>
        <v>150.5608</v>
      </c>
      <c r="AR133" s="149" t="s">
        <v>191</v>
      </c>
      <c r="AT133" s="149" t="s">
        <v>186</v>
      </c>
      <c r="AU133" s="149" t="s">
        <v>20</v>
      </c>
      <c r="AY133" s="18" t="s">
        <v>184</v>
      </c>
      <c r="BE133" s="150">
        <f>IF(N133="základní",J133,0)</f>
        <v>55629.79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8" t="s">
        <v>88</v>
      </c>
      <c r="BK133" s="150">
        <f>ROUND(I133*H133,2)</f>
        <v>55629.79</v>
      </c>
      <c r="BL133" s="18" t="s">
        <v>191</v>
      </c>
      <c r="BM133" s="149" t="s">
        <v>745</v>
      </c>
    </row>
    <row r="134" spans="2:65" s="1" customFormat="1" x14ac:dyDescent="0.3">
      <c r="B134" s="33"/>
      <c r="D134" s="151" t="s">
        <v>193</v>
      </c>
      <c r="F134" s="152" t="s">
        <v>746</v>
      </c>
      <c r="I134" s="153"/>
      <c r="L134" s="33"/>
      <c r="M134" s="154"/>
      <c r="T134" s="57"/>
      <c r="AT134" s="18" t="s">
        <v>193</v>
      </c>
      <c r="AU134" s="18" t="s">
        <v>20</v>
      </c>
    </row>
    <row r="135" spans="2:65" s="1" customFormat="1" ht="16.5" customHeight="1" x14ac:dyDescent="0.3">
      <c r="B135" s="33"/>
      <c r="C135" s="138" t="s">
        <v>202</v>
      </c>
      <c r="D135" s="138" t="s">
        <v>186</v>
      </c>
      <c r="E135" s="139" t="s">
        <v>747</v>
      </c>
      <c r="F135" s="140" t="s">
        <v>748</v>
      </c>
      <c r="G135" s="141" t="s">
        <v>189</v>
      </c>
      <c r="H135" s="142">
        <v>254.9</v>
      </c>
      <c r="I135" s="143">
        <v>106.9</v>
      </c>
      <c r="J135" s="144">
        <f>ROUND(I135*H135,2)</f>
        <v>27248.81</v>
      </c>
      <c r="K135" s="140" t="s">
        <v>190</v>
      </c>
      <c r="L135" s="33"/>
      <c r="M135" s="145" t="s">
        <v>1</v>
      </c>
      <c r="N135" s="146" t="s">
        <v>47</v>
      </c>
      <c r="O135" s="147">
        <v>0.127</v>
      </c>
      <c r="P135" s="147">
        <f>O135*H135</f>
        <v>32.372300000000003</v>
      </c>
      <c r="Q135" s="147">
        <v>0</v>
      </c>
      <c r="R135" s="147">
        <f>Q135*H135</f>
        <v>0</v>
      </c>
      <c r="S135" s="147">
        <v>9.8000000000000004E-2</v>
      </c>
      <c r="T135" s="148">
        <f>S135*H135</f>
        <v>24.9802</v>
      </c>
      <c r="AR135" s="149" t="s">
        <v>191</v>
      </c>
      <c r="AT135" s="149" t="s">
        <v>186</v>
      </c>
      <c r="AU135" s="149" t="s">
        <v>20</v>
      </c>
      <c r="AY135" s="18" t="s">
        <v>184</v>
      </c>
      <c r="BE135" s="150">
        <f>IF(N135="základní",J135,0)</f>
        <v>27248.81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8" t="s">
        <v>88</v>
      </c>
      <c r="BK135" s="150">
        <f>ROUND(I135*H135,2)</f>
        <v>27248.81</v>
      </c>
      <c r="BL135" s="18" t="s">
        <v>191</v>
      </c>
      <c r="BM135" s="149" t="s">
        <v>749</v>
      </c>
    </row>
    <row r="136" spans="2:65" s="1" customFormat="1" x14ac:dyDescent="0.3">
      <c r="B136" s="33"/>
      <c r="D136" s="151" t="s">
        <v>193</v>
      </c>
      <c r="F136" s="152" t="s">
        <v>750</v>
      </c>
      <c r="I136" s="153"/>
      <c r="L136" s="33"/>
      <c r="M136" s="154"/>
      <c r="T136" s="57"/>
      <c r="AT136" s="18" t="s">
        <v>193</v>
      </c>
      <c r="AU136" s="18" t="s">
        <v>20</v>
      </c>
    </row>
    <row r="137" spans="2:65" s="12" customFormat="1" ht="11.25" x14ac:dyDescent="0.3">
      <c r="B137" s="155"/>
      <c r="D137" s="156" t="s">
        <v>195</v>
      </c>
      <c r="E137" s="157" t="s">
        <v>1</v>
      </c>
      <c r="F137" s="158" t="s">
        <v>751</v>
      </c>
      <c r="H137" s="159">
        <v>254.9</v>
      </c>
      <c r="I137" s="160"/>
      <c r="L137" s="155"/>
      <c r="M137" s="161"/>
      <c r="T137" s="162"/>
      <c r="AT137" s="157" t="s">
        <v>195</v>
      </c>
      <c r="AU137" s="157" t="s">
        <v>20</v>
      </c>
      <c r="AV137" s="12" t="s">
        <v>20</v>
      </c>
      <c r="AW137" s="12" t="s">
        <v>37</v>
      </c>
      <c r="AX137" s="12" t="s">
        <v>88</v>
      </c>
      <c r="AY137" s="157" t="s">
        <v>184</v>
      </c>
    </row>
    <row r="138" spans="2:65" s="1" customFormat="1" ht="16.5" customHeight="1" x14ac:dyDescent="0.3">
      <c r="B138" s="33"/>
      <c r="C138" s="138" t="s">
        <v>191</v>
      </c>
      <c r="D138" s="138" t="s">
        <v>186</v>
      </c>
      <c r="E138" s="139" t="s">
        <v>752</v>
      </c>
      <c r="F138" s="140" t="s">
        <v>753</v>
      </c>
      <c r="G138" s="141" t="s">
        <v>754</v>
      </c>
      <c r="H138" s="142">
        <v>10</v>
      </c>
      <c r="I138" s="143">
        <v>198.53</v>
      </c>
      <c r="J138" s="144">
        <f>ROUND(I138*H138,2)</f>
        <v>1985.3</v>
      </c>
      <c r="K138" s="140" t="s">
        <v>658</v>
      </c>
      <c r="L138" s="33"/>
      <c r="M138" s="145" t="s">
        <v>1</v>
      </c>
      <c r="N138" s="146" t="s">
        <v>47</v>
      </c>
      <c r="O138" s="147">
        <v>0.27800000000000002</v>
      </c>
      <c r="P138" s="147">
        <f>O138*H138</f>
        <v>2.7800000000000002</v>
      </c>
      <c r="Q138" s="147">
        <v>4.0000000000000003E-5</v>
      </c>
      <c r="R138" s="147">
        <f>Q138*H138</f>
        <v>4.0000000000000002E-4</v>
      </c>
      <c r="S138" s="147">
        <v>0</v>
      </c>
      <c r="T138" s="148">
        <f>S138*H138</f>
        <v>0</v>
      </c>
      <c r="AR138" s="149" t="s">
        <v>191</v>
      </c>
      <c r="AT138" s="149" t="s">
        <v>186</v>
      </c>
      <c r="AU138" s="149" t="s">
        <v>20</v>
      </c>
      <c r="AY138" s="18" t="s">
        <v>184</v>
      </c>
      <c r="BE138" s="150">
        <f>IF(N138="základní",J138,0)</f>
        <v>1985.3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8" t="s">
        <v>88</v>
      </c>
      <c r="BK138" s="150">
        <f>ROUND(I138*H138,2)</f>
        <v>1985.3</v>
      </c>
      <c r="BL138" s="18" t="s">
        <v>191</v>
      </c>
      <c r="BM138" s="149" t="s">
        <v>755</v>
      </c>
    </row>
    <row r="139" spans="2:65" s="1" customFormat="1" ht="19.5" x14ac:dyDescent="0.3">
      <c r="B139" s="33"/>
      <c r="D139" s="156" t="s">
        <v>236</v>
      </c>
      <c r="F139" s="170" t="s">
        <v>756</v>
      </c>
      <c r="I139" s="153"/>
      <c r="L139" s="33"/>
      <c r="M139" s="154"/>
      <c r="T139" s="57"/>
      <c r="AT139" s="18" t="s">
        <v>236</v>
      </c>
      <c r="AU139" s="18" t="s">
        <v>20</v>
      </c>
    </row>
    <row r="140" spans="2:65" s="1" customFormat="1" ht="16.5" customHeight="1" x14ac:dyDescent="0.3">
      <c r="B140" s="33"/>
      <c r="C140" s="138" t="s">
        <v>214</v>
      </c>
      <c r="D140" s="138" t="s">
        <v>186</v>
      </c>
      <c r="E140" s="139" t="s">
        <v>757</v>
      </c>
      <c r="F140" s="140" t="s">
        <v>758</v>
      </c>
      <c r="G140" s="141" t="s">
        <v>759</v>
      </c>
      <c r="H140" s="142">
        <v>30</v>
      </c>
      <c r="I140" s="143">
        <v>106.9</v>
      </c>
      <c r="J140" s="144">
        <f>ROUND(I140*H140,2)</f>
        <v>3207</v>
      </c>
      <c r="K140" s="140" t="s">
        <v>658</v>
      </c>
      <c r="L140" s="33"/>
      <c r="M140" s="145" t="s">
        <v>1</v>
      </c>
      <c r="N140" s="146" t="s">
        <v>47</v>
      </c>
      <c r="O140" s="147">
        <v>0</v>
      </c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AR140" s="149" t="s">
        <v>191</v>
      </c>
      <c r="AT140" s="149" t="s">
        <v>186</v>
      </c>
      <c r="AU140" s="149" t="s">
        <v>20</v>
      </c>
      <c r="AY140" s="18" t="s">
        <v>184</v>
      </c>
      <c r="BE140" s="150">
        <f>IF(N140="základní",J140,0)</f>
        <v>3207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8" t="s">
        <v>88</v>
      </c>
      <c r="BK140" s="150">
        <f>ROUND(I140*H140,2)</f>
        <v>3207</v>
      </c>
      <c r="BL140" s="18" t="s">
        <v>191</v>
      </c>
      <c r="BM140" s="149" t="s">
        <v>760</v>
      </c>
    </row>
    <row r="141" spans="2:65" s="1" customFormat="1" ht="19.5" x14ac:dyDescent="0.3">
      <c r="B141" s="33"/>
      <c r="D141" s="156" t="s">
        <v>236</v>
      </c>
      <c r="F141" s="170" t="s">
        <v>756</v>
      </c>
      <c r="I141" s="153"/>
      <c r="L141" s="33"/>
      <c r="M141" s="154"/>
      <c r="T141" s="57"/>
      <c r="AT141" s="18" t="s">
        <v>236</v>
      </c>
      <c r="AU141" s="18" t="s">
        <v>20</v>
      </c>
    </row>
    <row r="142" spans="2:65" s="1" customFormat="1" ht="16.5" customHeight="1" x14ac:dyDescent="0.3">
      <c r="B142" s="33"/>
      <c r="C142" s="138" t="s">
        <v>221</v>
      </c>
      <c r="D142" s="138" t="s">
        <v>186</v>
      </c>
      <c r="E142" s="139" t="s">
        <v>222</v>
      </c>
      <c r="F142" s="140" t="s">
        <v>223</v>
      </c>
      <c r="G142" s="141" t="s">
        <v>217</v>
      </c>
      <c r="H142" s="142">
        <v>18.2</v>
      </c>
      <c r="I142" s="143">
        <v>474.03</v>
      </c>
      <c r="J142" s="144">
        <f>ROUND(I142*H142,2)</f>
        <v>8627.35</v>
      </c>
      <c r="K142" s="140" t="s">
        <v>190</v>
      </c>
      <c r="L142" s="33"/>
      <c r="M142" s="145" t="s">
        <v>1</v>
      </c>
      <c r="N142" s="146" t="s">
        <v>47</v>
      </c>
      <c r="O142" s="147">
        <v>1.548</v>
      </c>
      <c r="P142" s="147">
        <f>O142*H142</f>
        <v>28.1736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AR142" s="149" t="s">
        <v>191</v>
      </c>
      <c r="AT142" s="149" t="s">
        <v>186</v>
      </c>
      <c r="AU142" s="149" t="s">
        <v>20</v>
      </c>
      <c r="AY142" s="18" t="s">
        <v>184</v>
      </c>
      <c r="BE142" s="150">
        <f>IF(N142="základní",J142,0)</f>
        <v>8627.35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8" t="s">
        <v>88</v>
      </c>
      <c r="BK142" s="150">
        <f>ROUND(I142*H142,2)</f>
        <v>8627.35</v>
      </c>
      <c r="BL142" s="18" t="s">
        <v>191</v>
      </c>
      <c r="BM142" s="149" t="s">
        <v>761</v>
      </c>
    </row>
    <row r="143" spans="2:65" s="1" customFormat="1" x14ac:dyDescent="0.3">
      <c r="B143" s="33"/>
      <c r="D143" s="151" t="s">
        <v>193</v>
      </c>
      <c r="F143" s="152" t="s">
        <v>225</v>
      </c>
      <c r="I143" s="153"/>
      <c r="L143" s="33"/>
      <c r="M143" s="154"/>
      <c r="T143" s="57"/>
      <c r="AT143" s="18" t="s">
        <v>193</v>
      </c>
      <c r="AU143" s="18" t="s">
        <v>20</v>
      </c>
    </row>
    <row r="144" spans="2:65" s="12" customFormat="1" ht="11.25" x14ac:dyDescent="0.3">
      <c r="B144" s="155"/>
      <c r="D144" s="156" t="s">
        <v>195</v>
      </c>
      <c r="E144" s="157" t="s">
        <v>1</v>
      </c>
      <c r="F144" s="158" t="s">
        <v>762</v>
      </c>
      <c r="H144" s="159">
        <v>18.2</v>
      </c>
      <c r="I144" s="160"/>
      <c r="L144" s="155"/>
      <c r="M144" s="161"/>
      <c r="T144" s="162"/>
      <c r="AT144" s="157" t="s">
        <v>195</v>
      </c>
      <c r="AU144" s="157" t="s">
        <v>20</v>
      </c>
      <c r="AV144" s="12" t="s">
        <v>20</v>
      </c>
      <c r="AW144" s="12" t="s">
        <v>37</v>
      </c>
      <c r="AX144" s="12" t="s">
        <v>88</v>
      </c>
      <c r="AY144" s="157" t="s">
        <v>184</v>
      </c>
    </row>
    <row r="145" spans="2:65" s="1" customFormat="1" ht="21.75" customHeight="1" x14ac:dyDescent="0.3">
      <c r="B145" s="33"/>
      <c r="C145" s="138" t="s">
        <v>231</v>
      </c>
      <c r="D145" s="138" t="s">
        <v>186</v>
      </c>
      <c r="E145" s="139" t="s">
        <v>763</v>
      </c>
      <c r="F145" s="140" t="s">
        <v>764</v>
      </c>
      <c r="G145" s="141" t="s">
        <v>217</v>
      </c>
      <c r="H145" s="142">
        <v>38.015000000000001</v>
      </c>
      <c r="I145" s="143">
        <v>305.44</v>
      </c>
      <c r="J145" s="144">
        <f>ROUND(I145*H145,2)</f>
        <v>11611.3</v>
      </c>
      <c r="K145" s="140" t="s">
        <v>190</v>
      </c>
      <c r="L145" s="33"/>
      <c r="M145" s="145" t="s">
        <v>1</v>
      </c>
      <c r="N145" s="146" t="s">
        <v>47</v>
      </c>
      <c r="O145" s="147">
        <v>0.39400000000000002</v>
      </c>
      <c r="P145" s="147">
        <f>O145*H145</f>
        <v>14.977910000000001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AR145" s="149" t="s">
        <v>191</v>
      </c>
      <c r="AT145" s="149" t="s">
        <v>186</v>
      </c>
      <c r="AU145" s="149" t="s">
        <v>20</v>
      </c>
      <c r="AY145" s="18" t="s">
        <v>184</v>
      </c>
      <c r="BE145" s="150">
        <f>IF(N145="základní",J145,0)</f>
        <v>11611.3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8" t="s">
        <v>88</v>
      </c>
      <c r="BK145" s="150">
        <f>ROUND(I145*H145,2)</f>
        <v>11611.3</v>
      </c>
      <c r="BL145" s="18" t="s">
        <v>191</v>
      </c>
      <c r="BM145" s="149" t="s">
        <v>765</v>
      </c>
    </row>
    <row r="146" spans="2:65" s="1" customFormat="1" x14ac:dyDescent="0.3">
      <c r="B146" s="33"/>
      <c r="D146" s="151" t="s">
        <v>193</v>
      </c>
      <c r="F146" s="152" t="s">
        <v>766</v>
      </c>
      <c r="I146" s="153"/>
      <c r="L146" s="33"/>
      <c r="M146" s="154"/>
      <c r="T146" s="57"/>
      <c r="AT146" s="18" t="s">
        <v>193</v>
      </c>
      <c r="AU146" s="18" t="s">
        <v>20</v>
      </c>
    </row>
    <row r="147" spans="2:65" s="12" customFormat="1" ht="11.25" x14ac:dyDescent="0.3">
      <c r="B147" s="155"/>
      <c r="D147" s="156" t="s">
        <v>195</v>
      </c>
      <c r="E147" s="157" t="s">
        <v>1</v>
      </c>
      <c r="F147" s="158" t="s">
        <v>767</v>
      </c>
      <c r="H147" s="159">
        <v>9.343</v>
      </c>
      <c r="I147" s="160"/>
      <c r="L147" s="155"/>
      <c r="M147" s="161"/>
      <c r="T147" s="162"/>
      <c r="AT147" s="157" t="s">
        <v>195</v>
      </c>
      <c r="AU147" s="157" t="s">
        <v>20</v>
      </c>
      <c r="AV147" s="12" t="s">
        <v>20</v>
      </c>
      <c r="AW147" s="12" t="s">
        <v>37</v>
      </c>
      <c r="AX147" s="12" t="s">
        <v>81</v>
      </c>
      <c r="AY147" s="157" t="s">
        <v>184</v>
      </c>
    </row>
    <row r="148" spans="2:65" s="12" customFormat="1" ht="11.25" x14ac:dyDescent="0.3">
      <c r="B148" s="155"/>
      <c r="D148" s="156" t="s">
        <v>195</v>
      </c>
      <c r="E148" s="157" t="s">
        <v>1</v>
      </c>
      <c r="F148" s="158" t="s">
        <v>768</v>
      </c>
      <c r="H148" s="159">
        <v>28.672000000000001</v>
      </c>
      <c r="I148" s="160"/>
      <c r="L148" s="155"/>
      <c r="M148" s="161"/>
      <c r="T148" s="162"/>
      <c r="AT148" s="157" t="s">
        <v>195</v>
      </c>
      <c r="AU148" s="157" t="s">
        <v>20</v>
      </c>
      <c r="AV148" s="12" t="s">
        <v>20</v>
      </c>
      <c r="AW148" s="12" t="s">
        <v>37</v>
      </c>
      <c r="AX148" s="12" t="s">
        <v>81</v>
      </c>
      <c r="AY148" s="157" t="s">
        <v>184</v>
      </c>
    </row>
    <row r="149" spans="2:65" s="13" customFormat="1" ht="11.25" x14ac:dyDescent="0.3">
      <c r="B149" s="163"/>
      <c r="D149" s="156" t="s">
        <v>195</v>
      </c>
      <c r="E149" s="164" t="s">
        <v>1</v>
      </c>
      <c r="F149" s="165" t="s">
        <v>230</v>
      </c>
      <c r="H149" s="166">
        <v>38.015000000000001</v>
      </c>
      <c r="I149" s="167"/>
      <c r="L149" s="163"/>
      <c r="M149" s="168"/>
      <c r="T149" s="169"/>
      <c r="AT149" s="164" t="s">
        <v>195</v>
      </c>
      <c r="AU149" s="164" t="s">
        <v>20</v>
      </c>
      <c r="AV149" s="13" t="s">
        <v>191</v>
      </c>
      <c r="AW149" s="13" t="s">
        <v>37</v>
      </c>
      <c r="AX149" s="13" t="s">
        <v>88</v>
      </c>
      <c r="AY149" s="164" t="s">
        <v>184</v>
      </c>
    </row>
    <row r="150" spans="2:65" s="1" customFormat="1" ht="16.5" customHeight="1" x14ac:dyDescent="0.3">
      <c r="B150" s="33"/>
      <c r="C150" s="138" t="s">
        <v>239</v>
      </c>
      <c r="D150" s="138" t="s">
        <v>186</v>
      </c>
      <c r="E150" s="139" t="s">
        <v>769</v>
      </c>
      <c r="F150" s="140" t="s">
        <v>770</v>
      </c>
      <c r="G150" s="141" t="s">
        <v>217</v>
      </c>
      <c r="H150" s="142">
        <v>7.1680000000000001</v>
      </c>
      <c r="I150" s="143">
        <v>458.15</v>
      </c>
      <c r="J150" s="144">
        <f>ROUND(I150*H150,2)</f>
        <v>3284.02</v>
      </c>
      <c r="K150" s="140" t="s">
        <v>190</v>
      </c>
      <c r="L150" s="33"/>
      <c r="M150" s="145" t="s">
        <v>1</v>
      </c>
      <c r="N150" s="146" t="s">
        <v>47</v>
      </c>
      <c r="O150" s="147">
        <v>0.97499999999999998</v>
      </c>
      <c r="P150" s="147">
        <f>O150*H150</f>
        <v>6.9888000000000003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49" t="s">
        <v>191</v>
      </c>
      <c r="AT150" s="149" t="s">
        <v>186</v>
      </c>
      <c r="AU150" s="149" t="s">
        <v>20</v>
      </c>
      <c r="AY150" s="18" t="s">
        <v>184</v>
      </c>
      <c r="BE150" s="150">
        <f>IF(N150="základní",J150,0)</f>
        <v>3284.02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8" t="s">
        <v>88</v>
      </c>
      <c r="BK150" s="150">
        <f>ROUND(I150*H150,2)</f>
        <v>3284.02</v>
      </c>
      <c r="BL150" s="18" t="s">
        <v>191</v>
      </c>
      <c r="BM150" s="149" t="s">
        <v>771</v>
      </c>
    </row>
    <row r="151" spans="2:65" s="1" customFormat="1" x14ac:dyDescent="0.3">
      <c r="B151" s="33"/>
      <c r="D151" s="151" t="s">
        <v>193</v>
      </c>
      <c r="F151" s="152" t="s">
        <v>772</v>
      </c>
      <c r="I151" s="153"/>
      <c r="L151" s="33"/>
      <c r="M151" s="154"/>
      <c r="T151" s="57"/>
      <c r="AT151" s="18" t="s">
        <v>193</v>
      </c>
      <c r="AU151" s="18" t="s">
        <v>20</v>
      </c>
    </row>
    <row r="152" spans="2:65" s="12" customFormat="1" ht="11.25" x14ac:dyDescent="0.3">
      <c r="B152" s="155"/>
      <c r="D152" s="156" t="s">
        <v>195</v>
      </c>
      <c r="E152" s="157" t="s">
        <v>1</v>
      </c>
      <c r="F152" s="158" t="s">
        <v>773</v>
      </c>
      <c r="H152" s="159">
        <v>7.1680000000000001</v>
      </c>
      <c r="I152" s="160"/>
      <c r="L152" s="155"/>
      <c r="M152" s="161"/>
      <c r="T152" s="162"/>
      <c r="AT152" s="157" t="s">
        <v>195</v>
      </c>
      <c r="AU152" s="157" t="s">
        <v>20</v>
      </c>
      <c r="AV152" s="12" t="s">
        <v>20</v>
      </c>
      <c r="AW152" s="12" t="s">
        <v>37</v>
      </c>
      <c r="AX152" s="12" t="s">
        <v>88</v>
      </c>
      <c r="AY152" s="157" t="s">
        <v>184</v>
      </c>
    </row>
    <row r="153" spans="2:65" s="1" customFormat="1" ht="21.75" customHeight="1" x14ac:dyDescent="0.3">
      <c r="B153" s="33"/>
      <c r="C153" s="138" t="s">
        <v>245</v>
      </c>
      <c r="D153" s="138" t="s">
        <v>186</v>
      </c>
      <c r="E153" s="139" t="s">
        <v>774</v>
      </c>
      <c r="F153" s="140" t="s">
        <v>775</v>
      </c>
      <c r="G153" s="141" t="s">
        <v>217</v>
      </c>
      <c r="H153" s="142">
        <v>171.072</v>
      </c>
      <c r="I153" s="143">
        <v>458.15</v>
      </c>
      <c r="J153" s="144">
        <f>ROUND(I153*H153,2)</f>
        <v>78376.639999999999</v>
      </c>
      <c r="K153" s="140" t="s">
        <v>190</v>
      </c>
      <c r="L153" s="33"/>
      <c r="M153" s="145" t="s">
        <v>1</v>
      </c>
      <c r="N153" s="146" t="s">
        <v>47</v>
      </c>
      <c r="O153" s="147">
        <v>0.44700000000000001</v>
      </c>
      <c r="P153" s="147">
        <f>O153*H153</f>
        <v>76.469183999999998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AR153" s="149" t="s">
        <v>191</v>
      </c>
      <c r="AT153" s="149" t="s">
        <v>186</v>
      </c>
      <c r="AU153" s="149" t="s">
        <v>20</v>
      </c>
      <c r="AY153" s="18" t="s">
        <v>184</v>
      </c>
      <c r="BE153" s="150">
        <f>IF(N153="základní",J153,0)</f>
        <v>78376.639999999999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8" t="s">
        <v>88</v>
      </c>
      <c r="BK153" s="150">
        <f>ROUND(I153*H153,2)</f>
        <v>78376.639999999999</v>
      </c>
      <c r="BL153" s="18" t="s">
        <v>191</v>
      </c>
      <c r="BM153" s="149" t="s">
        <v>776</v>
      </c>
    </row>
    <row r="154" spans="2:65" s="1" customFormat="1" x14ac:dyDescent="0.3">
      <c r="B154" s="33"/>
      <c r="D154" s="151" t="s">
        <v>193</v>
      </c>
      <c r="F154" s="152" t="s">
        <v>777</v>
      </c>
      <c r="I154" s="153"/>
      <c r="L154" s="33"/>
      <c r="M154" s="154"/>
      <c r="T154" s="57"/>
      <c r="AT154" s="18" t="s">
        <v>193</v>
      </c>
      <c r="AU154" s="18" t="s">
        <v>20</v>
      </c>
    </row>
    <row r="155" spans="2:65" s="12" customFormat="1" ht="11.25" x14ac:dyDescent="0.3">
      <c r="B155" s="155"/>
      <c r="D155" s="156" t="s">
        <v>195</v>
      </c>
      <c r="E155" s="157" t="s">
        <v>1</v>
      </c>
      <c r="F155" s="158" t="s">
        <v>778</v>
      </c>
      <c r="H155" s="159">
        <v>171.072</v>
      </c>
      <c r="I155" s="160"/>
      <c r="L155" s="155"/>
      <c r="M155" s="161"/>
      <c r="T155" s="162"/>
      <c r="AT155" s="157" t="s">
        <v>195</v>
      </c>
      <c r="AU155" s="157" t="s">
        <v>20</v>
      </c>
      <c r="AV155" s="12" t="s">
        <v>20</v>
      </c>
      <c r="AW155" s="12" t="s">
        <v>37</v>
      </c>
      <c r="AX155" s="12" t="s">
        <v>88</v>
      </c>
      <c r="AY155" s="157" t="s">
        <v>184</v>
      </c>
    </row>
    <row r="156" spans="2:65" s="1" customFormat="1" ht="21.75" customHeight="1" x14ac:dyDescent="0.3">
      <c r="B156" s="33"/>
      <c r="C156" s="138" t="s">
        <v>252</v>
      </c>
      <c r="D156" s="138" t="s">
        <v>186</v>
      </c>
      <c r="E156" s="139" t="s">
        <v>779</v>
      </c>
      <c r="F156" s="140" t="s">
        <v>780</v>
      </c>
      <c r="G156" s="141" t="s">
        <v>217</v>
      </c>
      <c r="H156" s="142">
        <v>441.08</v>
      </c>
      <c r="I156" s="143">
        <v>458.15</v>
      </c>
      <c r="J156" s="144">
        <f>ROUND(I156*H156,2)</f>
        <v>202080.8</v>
      </c>
      <c r="K156" s="140" t="s">
        <v>190</v>
      </c>
      <c r="L156" s="33"/>
      <c r="M156" s="145" t="s">
        <v>1</v>
      </c>
      <c r="N156" s="146" t="s">
        <v>47</v>
      </c>
      <c r="O156" s="147">
        <v>0.42399999999999999</v>
      </c>
      <c r="P156" s="147">
        <f>O156*H156</f>
        <v>187.01791999999998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49" t="s">
        <v>191</v>
      </c>
      <c r="AT156" s="149" t="s">
        <v>186</v>
      </c>
      <c r="AU156" s="149" t="s">
        <v>20</v>
      </c>
      <c r="AY156" s="18" t="s">
        <v>184</v>
      </c>
      <c r="BE156" s="150">
        <f>IF(N156="základní",J156,0)</f>
        <v>202080.8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8" t="s">
        <v>88</v>
      </c>
      <c r="BK156" s="150">
        <f>ROUND(I156*H156,2)</f>
        <v>202080.8</v>
      </c>
      <c r="BL156" s="18" t="s">
        <v>191</v>
      </c>
      <c r="BM156" s="149" t="s">
        <v>781</v>
      </c>
    </row>
    <row r="157" spans="2:65" s="1" customFormat="1" x14ac:dyDescent="0.3">
      <c r="B157" s="33"/>
      <c r="D157" s="151" t="s">
        <v>193</v>
      </c>
      <c r="F157" s="152" t="s">
        <v>782</v>
      </c>
      <c r="I157" s="153"/>
      <c r="L157" s="33"/>
      <c r="M157" s="154"/>
      <c r="T157" s="57"/>
      <c r="AT157" s="18" t="s">
        <v>193</v>
      </c>
      <c r="AU157" s="18" t="s">
        <v>20</v>
      </c>
    </row>
    <row r="158" spans="2:65" s="12" customFormat="1" ht="11.25" x14ac:dyDescent="0.3">
      <c r="B158" s="155"/>
      <c r="D158" s="156" t="s">
        <v>195</v>
      </c>
      <c r="E158" s="157" t="s">
        <v>1</v>
      </c>
      <c r="F158" s="158" t="s">
        <v>783</v>
      </c>
      <c r="H158" s="159">
        <v>419.12</v>
      </c>
      <c r="I158" s="160"/>
      <c r="L158" s="155"/>
      <c r="M158" s="161"/>
      <c r="T158" s="162"/>
      <c r="AT158" s="157" t="s">
        <v>195</v>
      </c>
      <c r="AU158" s="157" t="s">
        <v>20</v>
      </c>
      <c r="AV158" s="12" t="s">
        <v>20</v>
      </c>
      <c r="AW158" s="12" t="s">
        <v>37</v>
      </c>
      <c r="AX158" s="12" t="s">
        <v>81</v>
      </c>
      <c r="AY158" s="157" t="s">
        <v>184</v>
      </c>
    </row>
    <row r="159" spans="2:65" s="12" customFormat="1" ht="11.25" x14ac:dyDescent="0.3">
      <c r="B159" s="155"/>
      <c r="D159" s="156" t="s">
        <v>195</v>
      </c>
      <c r="E159" s="157" t="s">
        <v>1</v>
      </c>
      <c r="F159" s="158" t="s">
        <v>784</v>
      </c>
      <c r="H159" s="159">
        <v>21.96</v>
      </c>
      <c r="I159" s="160"/>
      <c r="L159" s="155"/>
      <c r="M159" s="161"/>
      <c r="T159" s="162"/>
      <c r="AT159" s="157" t="s">
        <v>195</v>
      </c>
      <c r="AU159" s="157" t="s">
        <v>20</v>
      </c>
      <c r="AV159" s="12" t="s">
        <v>20</v>
      </c>
      <c r="AW159" s="12" t="s">
        <v>37</v>
      </c>
      <c r="AX159" s="12" t="s">
        <v>81</v>
      </c>
      <c r="AY159" s="157" t="s">
        <v>184</v>
      </c>
    </row>
    <row r="160" spans="2:65" s="13" customFormat="1" ht="11.25" x14ac:dyDescent="0.3">
      <c r="B160" s="163"/>
      <c r="D160" s="156" t="s">
        <v>195</v>
      </c>
      <c r="E160" s="164" t="s">
        <v>1</v>
      </c>
      <c r="F160" s="165" t="s">
        <v>230</v>
      </c>
      <c r="H160" s="166">
        <v>441.08</v>
      </c>
      <c r="I160" s="167"/>
      <c r="L160" s="163"/>
      <c r="M160" s="168"/>
      <c r="T160" s="169"/>
      <c r="AT160" s="164" t="s">
        <v>195</v>
      </c>
      <c r="AU160" s="164" t="s">
        <v>20</v>
      </c>
      <c r="AV160" s="13" t="s">
        <v>191</v>
      </c>
      <c r="AW160" s="13" t="s">
        <v>37</v>
      </c>
      <c r="AX160" s="13" t="s">
        <v>88</v>
      </c>
      <c r="AY160" s="164" t="s">
        <v>184</v>
      </c>
    </row>
    <row r="161" spans="2:65" s="1" customFormat="1" ht="21.75" customHeight="1" x14ac:dyDescent="0.3">
      <c r="B161" s="33"/>
      <c r="C161" s="138" t="s">
        <v>257</v>
      </c>
      <c r="D161" s="138" t="s">
        <v>186</v>
      </c>
      <c r="E161" s="139" t="s">
        <v>785</v>
      </c>
      <c r="F161" s="140" t="s">
        <v>786</v>
      </c>
      <c r="G161" s="141" t="s">
        <v>217</v>
      </c>
      <c r="H161" s="142">
        <v>21.06</v>
      </c>
      <c r="I161" s="143">
        <v>458.15</v>
      </c>
      <c r="J161" s="144">
        <f>ROUND(I161*H161,2)</f>
        <v>9648.64</v>
      </c>
      <c r="K161" s="140" t="s">
        <v>190</v>
      </c>
      <c r="L161" s="33"/>
      <c r="M161" s="145" t="s">
        <v>1</v>
      </c>
      <c r="N161" s="146" t="s">
        <v>47</v>
      </c>
      <c r="O161" s="147">
        <v>1.1850000000000001</v>
      </c>
      <c r="P161" s="147">
        <f>O161*H161</f>
        <v>24.956099999999999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49" t="s">
        <v>191</v>
      </c>
      <c r="AT161" s="149" t="s">
        <v>186</v>
      </c>
      <c r="AU161" s="149" t="s">
        <v>20</v>
      </c>
      <c r="AY161" s="18" t="s">
        <v>184</v>
      </c>
      <c r="BE161" s="150">
        <f>IF(N161="základní",J161,0)</f>
        <v>9648.64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8" t="s">
        <v>88</v>
      </c>
      <c r="BK161" s="150">
        <f>ROUND(I161*H161,2)</f>
        <v>9648.64</v>
      </c>
      <c r="BL161" s="18" t="s">
        <v>191</v>
      </c>
      <c r="BM161" s="149" t="s">
        <v>787</v>
      </c>
    </row>
    <row r="162" spans="2:65" s="1" customFormat="1" x14ac:dyDescent="0.3">
      <c r="B162" s="33"/>
      <c r="D162" s="151" t="s">
        <v>193</v>
      </c>
      <c r="F162" s="152" t="s">
        <v>788</v>
      </c>
      <c r="I162" s="153"/>
      <c r="L162" s="33"/>
      <c r="M162" s="154"/>
      <c r="T162" s="57"/>
      <c r="AT162" s="18" t="s">
        <v>193</v>
      </c>
      <c r="AU162" s="18" t="s">
        <v>20</v>
      </c>
    </row>
    <row r="163" spans="2:65" s="12" customFormat="1" ht="11.25" x14ac:dyDescent="0.3">
      <c r="B163" s="155"/>
      <c r="D163" s="156" t="s">
        <v>195</v>
      </c>
      <c r="E163" s="157" t="s">
        <v>1</v>
      </c>
      <c r="F163" s="158" t="s">
        <v>789</v>
      </c>
      <c r="H163" s="159">
        <v>21.06</v>
      </c>
      <c r="I163" s="160"/>
      <c r="L163" s="155"/>
      <c r="M163" s="161"/>
      <c r="T163" s="162"/>
      <c r="AT163" s="157" t="s">
        <v>195</v>
      </c>
      <c r="AU163" s="157" t="s">
        <v>20</v>
      </c>
      <c r="AV163" s="12" t="s">
        <v>20</v>
      </c>
      <c r="AW163" s="12" t="s">
        <v>37</v>
      </c>
      <c r="AX163" s="12" t="s">
        <v>88</v>
      </c>
      <c r="AY163" s="157" t="s">
        <v>184</v>
      </c>
    </row>
    <row r="164" spans="2:65" s="1" customFormat="1" ht="16.5" customHeight="1" x14ac:dyDescent="0.3">
      <c r="B164" s="33"/>
      <c r="C164" s="138" t="s">
        <v>264</v>
      </c>
      <c r="D164" s="138" t="s">
        <v>186</v>
      </c>
      <c r="E164" s="139" t="s">
        <v>790</v>
      </c>
      <c r="F164" s="140" t="s">
        <v>791</v>
      </c>
      <c r="G164" s="141" t="s">
        <v>189</v>
      </c>
      <c r="H164" s="142">
        <v>1448.24</v>
      </c>
      <c r="I164" s="143">
        <v>121.47</v>
      </c>
      <c r="J164" s="144">
        <f>ROUND(I164*H164,2)</f>
        <v>175917.71</v>
      </c>
      <c r="K164" s="140" t="s">
        <v>190</v>
      </c>
      <c r="L164" s="33"/>
      <c r="M164" s="145" t="s">
        <v>1</v>
      </c>
      <c r="N164" s="146" t="s">
        <v>47</v>
      </c>
      <c r="O164" s="147">
        <v>8.7999999999999995E-2</v>
      </c>
      <c r="P164" s="147">
        <f>O164*H164</f>
        <v>127.44511999999999</v>
      </c>
      <c r="Q164" s="147">
        <v>5.8E-4</v>
      </c>
      <c r="R164" s="147">
        <f>Q164*H164</f>
        <v>0.83997920000000004</v>
      </c>
      <c r="S164" s="147">
        <v>0</v>
      </c>
      <c r="T164" s="148">
        <f>S164*H164</f>
        <v>0</v>
      </c>
      <c r="AR164" s="149" t="s">
        <v>191</v>
      </c>
      <c r="AT164" s="149" t="s">
        <v>186</v>
      </c>
      <c r="AU164" s="149" t="s">
        <v>20</v>
      </c>
      <c r="AY164" s="18" t="s">
        <v>184</v>
      </c>
      <c r="BE164" s="150">
        <f>IF(N164="základní",J164,0)</f>
        <v>175917.71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8" t="s">
        <v>88</v>
      </c>
      <c r="BK164" s="150">
        <f>ROUND(I164*H164,2)</f>
        <v>175917.71</v>
      </c>
      <c r="BL164" s="18" t="s">
        <v>191</v>
      </c>
      <c r="BM164" s="149" t="s">
        <v>792</v>
      </c>
    </row>
    <row r="165" spans="2:65" s="1" customFormat="1" x14ac:dyDescent="0.3">
      <c r="B165" s="33"/>
      <c r="D165" s="151" t="s">
        <v>193</v>
      </c>
      <c r="F165" s="152" t="s">
        <v>793</v>
      </c>
      <c r="I165" s="153"/>
      <c r="L165" s="33"/>
      <c r="M165" s="154"/>
      <c r="T165" s="57"/>
      <c r="AT165" s="18" t="s">
        <v>193</v>
      </c>
      <c r="AU165" s="18" t="s">
        <v>20</v>
      </c>
    </row>
    <row r="166" spans="2:65" s="12" customFormat="1" ht="11.25" x14ac:dyDescent="0.3">
      <c r="B166" s="155"/>
      <c r="D166" s="156" t="s">
        <v>195</v>
      </c>
      <c r="E166" s="157" t="s">
        <v>1</v>
      </c>
      <c r="F166" s="158" t="s">
        <v>794</v>
      </c>
      <c r="H166" s="159">
        <v>570.24</v>
      </c>
      <c r="I166" s="160"/>
      <c r="L166" s="155"/>
      <c r="M166" s="161"/>
      <c r="T166" s="162"/>
      <c r="AT166" s="157" t="s">
        <v>195</v>
      </c>
      <c r="AU166" s="157" t="s">
        <v>20</v>
      </c>
      <c r="AV166" s="12" t="s">
        <v>20</v>
      </c>
      <c r="AW166" s="12" t="s">
        <v>37</v>
      </c>
      <c r="AX166" s="12" t="s">
        <v>81</v>
      </c>
      <c r="AY166" s="157" t="s">
        <v>184</v>
      </c>
    </row>
    <row r="167" spans="2:65" s="12" customFormat="1" ht="11.25" x14ac:dyDescent="0.3">
      <c r="B167" s="155"/>
      <c r="D167" s="156" t="s">
        <v>195</v>
      </c>
      <c r="E167" s="157" t="s">
        <v>1</v>
      </c>
      <c r="F167" s="158" t="s">
        <v>795</v>
      </c>
      <c r="H167" s="159">
        <v>878</v>
      </c>
      <c r="I167" s="160"/>
      <c r="L167" s="155"/>
      <c r="M167" s="161"/>
      <c r="T167" s="162"/>
      <c r="AT167" s="157" t="s">
        <v>195</v>
      </c>
      <c r="AU167" s="157" t="s">
        <v>20</v>
      </c>
      <c r="AV167" s="12" t="s">
        <v>20</v>
      </c>
      <c r="AW167" s="12" t="s">
        <v>37</v>
      </c>
      <c r="AX167" s="12" t="s">
        <v>81</v>
      </c>
      <c r="AY167" s="157" t="s">
        <v>184</v>
      </c>
    </row>
    <row r="168" spans="2:65" s="13" customFormat="1" ht="11.25" x14ac:dyDescent="0.3">
      <c r="B168" s="163"/>
      <c r="D168" s="156" t="s">
        <v>195</v>
      </c>
      <c r="E168" s="164" t="s">
        <v>1</v>
      </c>
      <c r="F168" s="165" t="s">
        <v>230</v>
      </c>
      <c r="H168" s="166">
        <v>1448.24</v>
      </c>
      <c r="I168" s="167"/>
      <c r="L168" s="163"/>
      <c r="M168" s="168"/>
      <c r="T168" s="169"/>
      <c r="AT168" s="164" t="s">
        <v>195</v>
      </c>
      <c r="AU168" s="164" t="s">
        <v>20</v>
      </c>
      <c r="AV168" s="13" t="s">
        <v>191</v>
      </c>
      <c r="AW168" s="13" t="s">
        <v>37</v>
      </c>
      <c r="AX168" s="13" t="s">
        <v>88</v>
      </c>
      <c r="AY168" s="164" t="s">
        <v>184</v>
      </c>
    </row>
    <row r="169" spans="2:65" s="1" customFormat="1" ht="16.5" customHeight="1" x14ac:dyDescent="0.3">
      <c r="B169" s="33"/>
      <c r="C169" s="138" t="s">
        <v>270</v>
      </c>
      <c r="D169" s="138" t="s">
        <v>186</v>
      </c>
      <c r="E169" s="139" t="s">
        <v>796</v>
      </c>
      <c r="F169" s="140" t="s">
        <v>797</v>
      </c>
      <c r="G169" s="141" t="s">
        <v>189</v>
      </c>
      <c r="H169" s="142">
        <v>1448.24</v>
      </c>
      <c r="I169" s="143">
        <v>140.16</v>
      </c>
      <c r="J169" s="144">
        <f>ROUND(I169*H169,2)</f>
        <v>202985.32</v>
      </c>
      <c r="K169" s="140" t="s">
        <v>190</v>
      </c>
      <c r="L169" s="33"/>
      <c r="M169" s="145" t="s">
        <v>1</v>
      </c>
      <c r="N169" s="146" t="s">
        <v>47</v>
      </c>
      <c r="O169" s="147">
        <v>0.10299999999999999</v>
      </c>
      <c r="P169" s="147">
        <f>O169*H169</f>
        <v>149.16871999999998</v>
      </c>
      <c r="Q169" s="147">
        <v>6.2E-4</v>
      </c>
      <c r="R169" s="147">
        <f>Q169*H169</f>
        <v>0.89790879999999995</v>
      </c>
      <c r="S169" s="147">
        <v>0</v>
      </c>
      <c r="T169" s="148">
        <f>S169*H169</f>
        <v>0</v>
      </c>
      <c r="AR169" s="149" t="s">
        <v>191</v>
      </c>
      <c r="AT169" s="149" t="s">
        <v>186</v>
      </c>
      <c r="AU169" s="149" t="s">
        <v>20</v>
      </c>
      <c r="AY169" s="18" t="s">
        <v>184</v>
      </c>
      <c r="BE169" s="150">
        <f>IF(N169="základní",J169,0)</f>
        <v>202985.32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8" t="s">
        <v>88</v>
      </c>
      <c r="BK169" s="150">
        <f>ROUND(I169*H169,2)</f>
        <v>202985.32</v>
      </c>
      <c r="BL169" s="18" t="s">
        <v>191</v>
      </c>
      <c r="BM169" s="149" t="s">
        <v>798</v>
      </c>
    </row>
    <row r="170" spans="2:65" s="1" customFormat="1" x14ac:dyDescent="0.3">
      <c r="B170" s="33"/>
      <c r="D170" s="151" t="s">
        <v>193</v>
      </c>
      <c r="F170" s="152" t="s">
        <v>799</v>
      </c>
      <c r="I170" s="153"/>
      <c r="L170" s="33"/>
      <c r="M170" s="154"/>
      <c r="T170" s="57"/>
      <c r="AT170" s="18" t="s">
        <v>193</v>
      </c>
      <c r="AU170" s="18" t="s">
        <v>20</v>
      </c>
    </row>
    <row r="171" spans="2:65" s="1" customFormat="1" ht="16.5" customHeight="1" x14ac:dyDescent="0.3">
      <c r="B171" s="33"/>
      <c r="C171" s="138" t="s">
        <v>276</v>
      </c>
      <c r="D171" s="138" t="s">
        <v>186</v>
      </c>
      <c r="E171" s="139" t="s">
        <v>232</v>
      </c>
      <c r="F171" s="140" t="s">
        <v>800</v>
      </c>
      <c r="G171" s="141" t="s">
        <v>217</v>
      </c>
      <c r="H171" s="142">
        <v>678.39499999999998</v>
      </c>
      <c r="I171" s="143">
        <v>103.82</v>
      </c>
      <c r="J171" s="144">
        <f>ROUND(I171*H171,2)</f>
        <v>70430.97</v>
      </c>
      <c r="K171" s="140" t="s">
        <v>658</v>
      </c>
      <c r="L171" s="33"/>
      <c r="M171" s="145" t="s">
        <v>1</v>
      </c>
      <c r="N171" s="146" t="s">
        <v>47</v>
      </c>
      <c r="O171" s="147">
        <v>8.6999999999999994E-2</v>
      </c>
      <c r="P171" s="147">
        <f>O171*H171</f>
        <v>59.020364999999991</v>
      </c>
      <c r="Q171" s="147">
        <v>0</v>
      </c>
      <c r="R171" s="147">
        <f>Q171*H171</f>
        <v>0</v>
      </c>
      <c r="S171" s="147">
        <v>0</v>
      </c>
      <c r="T171" s="148">
        <f>S171*H171</f>
        <v>0</v>
      </c>
      <c r="AR171" s="149" t="s">
        <v>191</v>
      </c>
      <c r="AT171" s="149" t="s">
        <v>186</v>
      </c>
      <c r="AU171" s="149" t="s">
        <v>20</v>
      </c>
      <c r="AY171" s="18" t="s">
        <v>184</v>
      </c>
      <c r="BE171" s="150">
        <f>IF(N171="základní",J171,0)</f>
        <v>70430.97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8" t="s">
        <v>88</v>
      </c>
      <c r="BK171" s="150">
        <f>ROUND(I171*H171,2)</f>
        <v>70430.97</v>
      </c>
      <c r="BL171" s="18" t="s">
        <v>191</v>
      </c>
      <c r="BM171" s="149" t="s">
        <v>801</v>
      </c>
    </row>
    <row r="172" spans="2:65" s="12" customFormat="1" ht="11.25" x14ac:dyDescent="0.3">
      <c r="B172" s="155"/>
      <c r="D172" s="156" t="s">
        <v>195</v>
      </c>
      <c r="E172" s="157" t="s">
        <v>1</v>
      </c>
      <c r="F172" s="158" t="s">
        <v>802</v>
      </c>
      <c r="H172" s="159">
        <v>678.39499999999998</v>
      </c>
      <c r="I172" s="160"/>
      <c r="L172" s="155"/>
      <c r="M172" s="161"/>
      <c r="T172" s="162"/>
      <c r="AT172" s="157" t="s">
        <v>195</v>
      </c>
      <c r="AU172" s="157" t="s">
        <v>20</v>
      </c>
      <c r="AV172" s="12" t="s">
        <v>20</v>
      </c>
      <c r="AW172" s="12" t="s">
        <v>37</v>
      </c>
      <c r="AX172" s="12" t="s">
        <v>88</v>
      </c>
      <c r="AY172" s="157" t="s">
        <v>184</v>
      </c>
    </row>
    <row r="173" spans="2:65" s="1" customFormat="1" ht="24.2" customHeight="1" x14ac:dyDescent="0.3">
      <c r="B173" s="33"/>
      <c r="C173" s="138" t="s">
        <v>7</v>
      </c>
      <c r="D173" s="138" t="s">
        <v>186</v>
      </c>
      <c r="E173" s="139" t="s">
        <v>240</v>
      </c>
      <c r="F173" s="140" t="s">
        <v>803</v>
      </c>
      <c r="G173" s="141" t="s">
        <v>217</v>
      </c>
      <c r="H173" s="142">
        <v>2713.58</v>
      </c>
      <c r="I173" s="143">
        <v>7.13</v>
      </c>
      <c r="J173" s="144">
        <f>ROUND(I173*H173,2)</f>
        <v>19347.830000000002</v>
      </c>
      <c r="K173" s="140" t="s">
        <v>658</v>
      </c>
      <c r="L173" s="33"/>
      <c r="M173" s="145" t="s">
        <v>1</v>
      </c>
      <c r="N173" s="146" t="s">
        <v>47</v>
      </c>
      <c r="O173" s="147">
        <v>5.0000000000000001E-3</v>
      </c>
      <c r="P173" s="147">
        <f>O173*H173</f>
        <v>13.5679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49" t="s">
        <v>191</v>
      </c>
      <c r="AT173" s="149" t="s">
        <v>186</v>
      </c>
      <c r="AU173" s="149" t="s">
        <v>20</v>
      </c>
      <c r="AY173" s="18" t="s">
        <v>184</v>
      </c>
      <c r="BE173" s="150">
        <f>IF(N173="základní",J173,0)</f>
        <v>19347.830000000002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8" t="s">
        <v>88</v>
      </c>
      <c r="BK173" s="150">
        <f>ROUND(I173*H173,2)</f>
        <v>19347.830000000002</v>
      </c>
      <c r="BL173" s="18" t="s">
        <v>191</v>
      </c>
      <c r="BM173" s="149" t="s">
        <v>804</v>
      </c>
    </row>
    <row r="174" spans="2:65" s="1" customFormat="1" ht="19.5" x14ac:dyDescent="0.3">
      <c r="B174" s="33"/>
      <c r="D174" s="156" t="s">
        <v>236</v>
      </c>
      <c r="F174" s="170" t="s">
        <v>805</v>
      </c>
      <c r="I174" s="153"/>
      <c r="L174" s="33"/>
      <c r="M174" s="154"/>
      <c r="T174" s="57"/>
      <c r="AT174" s="18" t="s">
        <v>236</v>
      </c>
      <c r="AU174" s="18" t="s">
        <v>20</v>
      </c>
    </row>
    <row r="175" spans="2:65" s="12" customFormat="1" ht="11.25" x14ac:dyDescent="0.3">
      <c r="B175" s="155"/>
      <c r="D175" s="156" t="s">
        <v>195</v>
      </c>
      <c r="E175" s="157" t="s">
        <v>1</v>
      </c>
      <c r="F175" s="158" t="s">
        <v>806</v>
      </c>
      <c r="H175" s="159">
        <v>2713.58</v>
      </c>
      <c r="I175" s="160"/>
      <c r="L175" s="155"/>
      <c r="M175" s="161"/>
      <c r="T175" s="162"/>
      <c r="AT175" s="157" t="s">
        <v>195</v>
      </c>
      <c r="AU175" s="157" t="s">
        <v>20</v>
      </c>
      <c r="AV175" s="12" t="s">
        <v>20</v>
      </c>
      <c r="AW175" s="12" t="s">
        <v>37</v>
      </c>
      <c r="AX175" s="12" t="s">
        <v>88</v>
      </c>
      <c r="AY175" s="157" t="s">
        <v>184</v>
      </c>
    </row>
    <row r="176" spans="2:65" s="1" customFormat="1" ht="16.5" customHeight="1" x14ac:dyDescent="0.3">
      <c r="B176" s="33"/>
      <c r="C176" s="138" t="s">
        <v>287</v>
      </c>
      <c r="D176" s="138" t="s">
        <v>186</v>
      </c>
      <c r="E176" s="139" t="s">
        <v>246</v>
      </c>
      <c r="F176" s="140" t="s">
        <v>247</v>
      </c>
      <c r="G176" s="141" t="s">
        <v>248</v>
      </c>
      <c r="H176" s="142">
        <v>1356.79</v>
      </c>
      <c r="I176" s="143">
        <v>256.7</v>
      </c>
      <c r="J176" s="144">
        <f>ROUND(I176*H176,2)</f>
        <v>348287.99</v>
      </c>
      <c r="K176" s="140" t="s">
        <v>1</v>
      </c>
      <c r="L176" s="33"/>
      <c r="M176" s="145" t="s">
        <v>1</v>
      </c>
      <c r="N176" s="146" t="s">
        <v>47</v>
      </c>
      <c r="O176" s="147">
        <v>0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49" t="s">
        <v>191</v>
      </c>
      <c r="AT176" s="149" t="s">
        <v>186</v>
      </c>
      <c r="AU176" s="149" t="s">
        <v>20</v>
      </c>
      <c r="AY176" s="18" t="s">
        <v>184</v>
      </c>
      <c r="BE176" s="150">
        <f>IF(N176="základní",J176,0)</f>
        <v>348287.99</v>
      </c>
      <c r="BF176" s="150">
        <f>IF(N176="snížená",J176,0)</f>
        <v>0</v>
      </c>
      <c r="BG176" s="150">
        <f>IF(N176="zákl. přenesená",J176,0)</f>
        <v>0</v>
      </c>
      <c r="BH176" s="150">
        <f>IF(N176="sníž. přenesená",J176,0)</f>
        <v>0</v>
      </c>
      <c r="BI176" s="150">
        <f>IF(N176="nulová",J176,0)</f>
        <v>0</v>
      </c>
      <c r="BJ176" s="18" t="s">
        <v>88</v>
      </c>
      <c r="BK176" s="150">
        <f>ROUND(I176*H176,2)</f>
        <v>348287.99</v>
      </c>
      <c r="BL176" s="18" t="s">
        <v>191</v>
      </c>
      <c r="BM176" s="149" t="s">
        <v>807</v>
      </c>
    </row>
    <row r="177" spans="2:65" s="12" customFormat="1" ht="11.25" x14ac:dyDescent="0.3">
      <c r="B177" s="155"/>
      <c r="D177" s="156" t="s">
        <v>195</v>
      </c>
      <c r="E177" s="157" t="s">
        <v>1</v>
      </c>
      <c r="F177" s="158" t="s">
        <v>808</v>
      </c>
      <c r="H177" s="159">
        <v>1356.79</v>
      </c>
      <c r="I177" s="160"/>
      <c r="L177" s="155"/>
      <c r="M177" s="161"/>
      <c r="T177" s="162"/>
      <c r="AT177" s="157" t="s">
        <v>195</v>
      </c>
      <c r="AU177" s="157" t="s">
        <v>20</v>
      </c>
      <c r="AV177" s="12" t="s">
        <v>20</v>
      </c>
      <c r="AW177" s="12" t="s">
        <v>37</v>
      </c>
      <c r="AX177" s="12" t="s">
        <v>88</v>
      </c>
      <c r="AY177" s="157" t="s">
        <v>184</v>
      </c>
    </row>
    <row r="178" spans="2:65" s="1" customFormat="1" ht="16.5" customHeight="1" x14ac:dyDescent="0.3">
      <c r="B178" s="33"/>
      <c r="C178" s="138" t="s">
        <v>293</v>
      </c>
      <c r="D178" s="138" t="s">
        <v>186</v>
      </c>
      <c r="E178" s="139" t="s">
        <v>809</v>
      </c>
      <c r="F178" s="140" t="s">
        <v>810</v>
      </c>
      <c r="G178" s="141" t="s">
        <v>217</v>
      </c>
      <c r="H178" s="142">
        <v>316.23200000000003</v>
      </c>
      <c r="I178" s="143">
        <v>229.08</v>
      </c>
      <c r="J178" s="144">
        <f>ROUND(I178*H178,2)</f>
        <v>72442.429999999993</v>
      </c>
      <c r="K178" s="140" t="s">
        <v>658</v>
      </c>
      <c r="L178" s="33"/>
      <c r="M178" s="145" t="s">
        <v>1</v>
      </c>
      <c r="N178" s="146" t="s">
        <v>47</v>
      </c>
      <c r="O178" s="147">
        <v>0.44400000000000001</v>
      </c>
      <c r="P178" s="147">
        <f>O178*H178</f>
        <v>140.40700800000002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AR178" s="149" t="s">
        <v>191</v>
      </c>
      <c r="AT178" s="149" t="s">
        <v>186</v>
      </c>
      <c r="AU178" s="149" t="s">
        <v>20</v>
      </c>
      <c r="AY178" s="18" t="s">
        <v>184</v>
      </c>
      <c r="BE178" s="150">
        <f>IF(N178="základní",J178,0)</f>
        <v>72442.429999999993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8" t="s">
        <v>88</v>
      </c>
      <c r="BK178" s="150">
        <f>ROUND(I178*H178,2)</f>
        <v>72442.429999999993</v>
      </c>
      <c r="BL178" s="18" t="s">
        <v>191</v>
      </c>
      <c r="BM178" s="149" t="s">
        <v>811</v>
      </c>
    </row>
    <row r="179" spans="2:65" s="12" customFormat="1" ht="11.25" x14ac:dyDescent="0.3">
      <c r="B179" s="155"/>
      <c r="D179" s="156" t="s">
        <v>195</v>
      </c>
      <c r="E179" s="157" t="s">
        <v>1</v>
      </c>
      <c r="F179" s="158" t="s">
        <v>812</v>
      </c>
      <c r="H179" s="159">
        <v>633.21199999999999</v>
      </c>
      <c r="I179" s="160"/>
      <c r="L179" s="155"/>
      <c r="M179" s="161"/>
      <c r="T179" s="162"/>
      <c r="AT179" s="157" t="s">
        <v>195</v>
      </c>
      <c r="AU179" s="157" t="s">
        <v>20</v>
      </c>
      <c r="AV179" s="12" t="s">
        <v>20</v>
      </c>
      <c r="AW179" s="12" t="s">
        <v>37</v>
      </c>
      <c r="AX179" s="12" t="s">
        <v>81</v>
      </c>
      <c r="AY179" s="157" t="s">
        <v>184</v>
      </c>
    </row>
    <row r="180" spans="2:65" s="12" customFormat="1" ht="11.25" x14ac:dyDescent="0.3">
      <c r="B180" s="155"/>
      <c r="D180" s="156" t="s">
        <v>195</v>
      </c>
      <c r="E180" s="157" t="s">
        <v>1</v>
      </c>
      <c r="F180" s="158" t="s">
        <v>813</v>
      </c>
      <c r="H180" s="159">
        <v>-235.90700000000001</v>
      </c>
      <c r="I180" s="160"/>
      <c r="L180" s="155"/>
      <c r="M180" s="161"/>
      <c r="T180" s="162"/>
      <c r="AT180" s="157" t="s">
        <v>195</v>
      </c>
      <c r="AU180" s="157" t="s">
        <v>20</v>
      </c>
      <c r="AV180" s="12" t="s">
        <v>20</v>
      </c>
      <c r="AW180" s="12" t="s">
        <v>37</v>
      </c>
      <c r="AX180" s="12" t="s">
        <v>81</v>
      </c>
      <c r="AY180" s="157" t="s">
        <v>184</v>
      </c>
    </row>
    <row r="181" spans="2:65" s="12" customFormat="1" ht="11.25" x14ac:dyDescent="0.3">
      <c r="B181" s="155"/>
      <c r="D181" s="156" t="s">
        <v>195</v>
      </c>
      <c r="E181" s="157" t="s">
        <v>1</v>
      </c>
      <c r="F181" s="158" t="s">
        <v>814</v>
      </c>
      <c r="H181" s="159">
        <v>-65.013999999999996</v>
      </c>
      <c r="I181" s="160"/>
      <c r="L181" s="155"/>
      <c r="M181" s="161"/>
      <c r="T181" s="162"/>
      <c r="AT181" s="157" t="s">
        <v>195</v>
      </c>
      <c r="AU181" s="157" t="s">
        <v>20</v>
      </c>
      <c r="AV181" s="12" t="s">
        <v>20</v>
      </c>
      <c r="AW181" s="12" t="s">
        <v>37</v>
      </c>
      <c r="AX181" s="12" t="s">
        <v>81</v>
      </c>
      <c r="AY181" s="157" t="s">
        <v>184</v>
      </c>
    </row>
    <row r="182" spans="2:65" s="15" customFormat="1" ht="11.25" x14ac:dyDescent="0.3">
      <c r="B182" s="198"/>
      <c r="D182" s="156" t="s">
        <v>195</v>
      </c>
      <c r="E182" s="199" t="s">
        <v>1</v>
      </c>
      <c r="F182" s="200" t="s">
        <v>815</v>
      </c>
      <c r="H182" s="201">
        <v>332.29099999999994</v>
      </c>
      <c r="I182" s="202"/>
      <c r="L182" s="198"/>
      <c r="M182" s="203"/>
      <c r="T182" s="204"/>
      <c r="AT182" s="199" t="s">
        <v>195</v>
      </c>
      <c r="AU182" s="199" t="s">
        <v>20</v>
      </c>
      <c r="AV182" s="15" t="s">
        <v>202</v>
      </c>
      <c r="AW182" s="15" t="s">
        <v>37</v>
      </c>
      <c r="AX182" s="15" t="s">
        <v>81</v>
      </c>
      <c r="AY182" s="199" t="s">
        <v>184</v>
      </c>
    </row>
    <row r="183" spans="2:65" s="12" customFormat="1" ht="11.25" x14ac:dyDescent="0.3">
      <c r="B183" s="155"/>
      <c r="D183" s="156" t="s">
        <v>195</v>
      </c>
      <c r="E183" s="157" t="s">
        <v>1</v>
      </c>
      <c r="F183" s="158" t="s">
        <v>816</v>
      </c>
      <c r="H183" s="159">
        <v>45.183</v>
      </c>
      <c r="I183" s="160"/>
      <c r="L183" s="155"/>
      <c r="M183" s="161"/>
      <c r="T183" s="162"/>
      <c r="AT183" s="157" t="s">
        <v>195</v>
      </c>
      <c r="AU183" s="157" t="s">
        <v>20</v>
      </c>
      <c r="AV183" s="12" t="s">
        <v>20</v>
      </c>
      <c r="AW183" s="12" t="s">
        <v>37</v>
      </c>
      <c r="AX183" s="12" t="s">
        <v>81</v>
      </c>
      <c r="AY183" s="157" t="s">
        <v>184</v>
      </c>
    </row>
    <row r="184" spans="2:65" s="12" customFormat="1" ht="11.25" x14ac:dyDescent="0.3">
      <c r="B184" s="155"/>
      <c r="D184" s="156" t="s">
        <v>195</v>
      </c>
      <c r="E184" s="157" t="s">
        <v>1</v>
      </c>
      <c r="F184" s="158" t="s">
        <v>817</v>
      </c>
      <c r="H184" s="159">
        <v>-2.4</v>
      </c>
      <c r="I184" s="160"/>
      <c r="L184" s="155"/>
      <c r="M184" s="161"/>
      <c r="T184" s="162"/>
      <c r="AT184" s="157" t="s">
        <v>195</v>
      </c>
      <c r="AU184" s="157" t="s">
        <v>20</v>
      </c>
      <c r="AV184" s="12" t="s">
        <v>20</v>
      </c>
      <c r="AW184" s="12" t="s">
        <v>37</v>
      </c>
      <c r="AX184" s="12" t="s">
        <v>81</v>
      </c>
      <c r="AY184" s="157" t="s">
        <v>184</v>
      </c>
    </row>
    <row r="185" spans="2:65" s="12" customFormat="1" ht="11.25" x14ac:dyDescent="0.3">
      <c r="B185" s="155"/>
      <c r="D185" s="156" t="s">
        <v>195</v>
      </c>
      <c r="E185" s="157" t="s">
        <v>1</v>
      </c>
      <c r="F185" s="158" t="s">
        <v>818</v>
      </c>
      <c r="H185" s="159">
        <v>-58.841999999999999</v>
      </c>
      <c r="I185" s="160"/>
      <c r="L185" s="155"/>
      <c r="M185" s="161"/>
      <c r="T185" s="162"/>
      <c r="AT185" s="157" t="s">
        <v>195</v>
      </c>
      <c r="AU185" s="157" t="s">
        <v>20</v>
      </c>
      <c r="AV185" s="12" t="s">
        <v>20</v>
      </c>
      <c r="AW185" s="12" t="s">
        <v>37</v>
      </c>
      <c r="AX185" s="12" t="s">
        <v>81</v>
      </c>
      <c r="AY185" s="157" t="s">
        <v>184</v>
      </c>
    </row>
    <row r="186" spans="2:65" s="15" customFormat="1" ht="11.25" x14ac:dyDescent="0.3">
      <c r="B186" s="198"/>
      <c r="D186" s="156" t="s">
        <v>195</v>
      </c>
      <c r="E186" s="199" t="s">
        <v>1</v>
      </c>
      <c r="F186" s="200" t="s">
        <v>815</v>
      </c>
      <c r="H186" s="201">
        <v>-16.058999999999997</v>
      </c>
      <c r="I186" s="202"/>
      <c r="L186" s="198"/>
      <c r="M186" s="203"/>
      <c r="T186" s="204"/>
      <c r="AT186" s="199" t="s">
        <v>195</v>
      </c>
      <c r="AU186" s="199" t="s">
        <v>20</v>
      </c>
      <c r="AV186" s="15" t="s">
        <v>202</v>
      </c>
      <c r="AW186" s="15" t="s">
        <v>37</v>
      </c>
      <c r="AX186" s="15" t="s">
        <v>81</v>
      </c>
      <c r="AY186" s="199" t="s">
        <v>184</v>
      </c>
    </row>
    <row r="187" spans="2:65" s="13" customFormat="1" ht="11.25" x14ac:dyDescent="0.3">
      <c r="B187" s="163"/>
      <c r="D187" s="156" t="s">
        <v>195</v>
      </c>
      <c r="E187" s="164" t="s">
        <v>1</v>
      </c>
      <c r="F187" s="165" t="s">
        <v>230</v>
      </c>
      <c r="H187" s="166">
        <v>316.23199999999997</v>
      </c>
      <c r="I187" s="167"/>
      <c r="L187" s="163"/>
      <c r="M187" s="168"/>
      <c r="T187" s="169"/>
      <c r="AT187" s="164" t="s">
        <v>195</v>
      </c>
      <c r="AU187" s="164" t="s">
        <v>20</v>
      </c>
      <c r="AV187" s="13" t="s">
        <v>191</v>
      </c>
      <c r="AW187" s="13" t="s">
        <v>37</v>
      </c>
      <c r="AX187" s="13" t="s">
        <v>88</v>
      </c>
      <c r="AY187" s="164" t="s">
        <v>184</v>
      </c>
    </row>
    <row r="188" spans="2:65" s="1" customFormat="1" ht="16.5" customHeight="1" x14ac:dyDescent="0.3">
      <c r="B188" s="33"/>
      <c r="C188" s="172" t="s">
        <v>299</v>
      </c>
      <c r="D188" s="172" t="s">
        <v>271</v>
      </c>
      <c r="E188" s="173" t="s">
        <v>819</v>
      </c>
      <c r="F188" s="174" t="s">
        <v>820</v>
      </c>
      <c r="G188" s="175" t="s">
        <v>248</v>
      </c>
      <c r="H188" s="176">
        <v>632.46400000000006</v>
      </c>
      <c r="I188" s="177">
        <v>713.39</v>
      </c>
      <c r="J188" s="178">
        <f>ROUND(I188*H188,2)</f>
        <v>451193.49</v>
      </c>
      <c r="K188" s="174" t="s">
        <v>190</v>
      </c>
      <c r="L188" s="179"/>
      <c r="M188" s="180" t="s">
        <v>1</v>
      </c>
      <c r="N188" s="181" t="s">
        <v>47</v>
      </c>
      <c r="O188" s="147">
        <v>0</v>
      </c>
      <c r="P188" s="147">
        <f>O188*H188</f>
        <v>0</v>
      </c>
      <c r="Q188" s="147">
        <v>1</v>
      </c>
      <c r="R188" s="147">
        <f>Q188*H188</f>
        <v>632.46400000000006</v>
      </c>
      <c r="S188" s="147">
        <v>0</v>
      </c>
      <c r="T188" s="148">
        <f>S188*H188</f>
        <v>0</v>
      </c>
      <c r="AR188" s="149" t="s">
        <v>239</v>
      </c>
      <c r="AT188" s="149" t="s">
        <v>271</v>
      </c>
      <c r="AU188" s="149" t="s">
        <v>20</v>
      </c>
      <c r="AY188" s="18" t="s">
        <v>184</v>
      </c>
      <c r="BE188" s="150">
        <f>IF(N188="základní",J188,0)</f>
        <v>451193.49</v>
      </c>
      <c r="BF188" s="150">
        <f>IF(N188="snížená",J188,0)</f>
        <v>0</v>
      </c>
      <c r="BG188" s="150">
        <f>IF(N188="zákl. přenesená",J188,0)</f>
        <v>0</v>
      </c>
      <c r="BH188" s="150">
        <f>IF(N188="sníž. přenesená",J188,0)</f>
        <v>0</v>
      </c>
      <c r="BI188" s="150">
        <f>IF(N188="nulová",J188,0)</f>
        <v>0</v>
      </c>
      <c r="BJ188" s="18" t="s">
        <v>88</v>
      </c>
      <c r="BK188" s="150">
        <f>ROUND(I188*H188,2)</f>
        <v>451193.49</v>
      </c>
      <c r="BL188" s="18" t="s">
        <v>191</v>
      </c>
      <c r="BM188" s="149" t="s">
        <v>821</v>
      </c>
    </row>
    <row r="189" spans="2:65" s="12" customFormat="1" ht="11.25" x14ac:dyDescent="0.3">
      <c r="B189" s="155"/>
      <c r="D189" s="156" t="s">
        <v>195</v>
      </c>
      <c r="E189" s="157" t="s">
        <v>1</v>
      </c>
      <c r="F189" s="158" t="s">
        <v>822</v>
      </c>
      <c r="H189" s="159">
        <v>632.46400000000006</v>
      </c>
      <c r="I189" s="160"/>
      <c r="L189" s="155"/>
      <c r="M189" s="161"/>
      <c r="T189" s="162"/>
      <c r="AT189" s="157" t="s">
        <v>195</v>
      </c>
      <c r="AU189" s="157" t="s">
        <v>20</v>
      </c>
      <c r="AV189" s="12" t="s">
        <v>20</v>
      </c>
      <c r="AW189" s="12" t="s">
        <v>37</v>
      </c>
      <c r="AX189" s="12" t="s">
        <v>88</v>
      </c>
      <c r="AY189" s="157" t="s">
        <v>184</v>
      </c>
    </row>
    <row r="190" spans="2:65" s="1" customFormat="1" ht="16.5" customHeight="1" x14ac:dyDescent="0.3">
      <c r="B190" s="33"/>
      <c r="C190" s="138" t="s">
        <v>305</v>
      </c>
      <c r="D190" s="138" t="s">
        <v>186</v>
      </c>
      <c r="E190" s="139" t="s">
        <v>823</v>
      </c>
      <c r="F190" s="140" t="s">
        <v>824</v>
      </c>
      <c r="G190" s="141" t="s">
        <v>217</v>
      </c>
      <c r="H190" s="142">
        <v>174.458</v>
      </c>
      <c r="I190" s="143">
        <v>496.33</v>
      </c>
      <c r="J190" s="144">
        <f>ROUND(I190*H190,2)</f>
        <v>86588.74</v>
      </c>
      <c r="K190" s="140" t="s">
        <v>658</v>
      </c>
      <c r="L190" s="33"/>
      <c r="M190" s="145" t="s">
        <v>1</v>
      </c>
      <c r="N190" s="146" t="s">
        <v>47</v>
      </c>
      <c r="O190" s="147">
        <v>0.435</v>
      </c>
      <c r="P190" s="147">
        <f>O190*H190</f>
        <v>75.889229999999998</v>
      </c>
      <c r="Q190" s="147">
        <v>0</v>
      </c>
      <c r="R190" s="147">
        <f>Q190*H190</f>
        <v>0</v>
      </c>
      <c r="S190" s="147">
        <v>0</v>
      </c>
      <c r="T190" s="148">
        <f>S190*H190</f>
        <v>0</v>
      </c>
      <c r="AR190" s="149" t="s">
        <v>191</v>
      </c>
      <c r="AT190" s="149" t="s">
        <v>186</v>
      </c>
      <c r="AU190" s="149" t="s">
        <v>20</v>
      </c>
      <c r="AY190" s="18" t="s">
        <v>184</v>
      </c>
      <c r="BE190" s="150">
        <f>IF(N190="základní",J190,0)</f>
        <v>86588.74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8" t="s">
        <v>88</v>
      </c>
      <c r="BK190" s="150">
        <f>ROUND(I190*H190,2)</f>
        <v>86588.74</v>
      </c>
      <c r="BL190" s="18" t="s">
        <v>191</v>
      </c>
      <c r="BM190" s="149" t="s">
        <v>825</v>
      </c>
    </row>
    <row r="191" spans="2:65" s="12" customFormat="1" ht="11.25" x14ac:dyDescent="0.3">
      <c r="B191" s="155"/>
      <c r="D191" s="156" t="s">
        <v>195</v>
      </c>
      <c r="E191" s="157" t="s">
        <v>1</v>
      </c>
      <c r="F191" s="158" t="s">
        <v>826</v>
      </c>
      <c r="H191" s="159">
        <v>133.05600000000001</v>
      </c>
      <c r="I191" s="160"/>
      <c r="L191" s="155"/>
      <c r="M191" s="161"/>
      <c r="T191" s="162"/>
      <c r="AT191" s="157" t="s">
        <v>195</v>
      </c>
      <c r="AU191" s="157" t="s">
        <v>20</v>
      </c>
      <c r="AV191" s="12" t="s">
        <v>20</v>
      </c>
      <c r="AW191" s="12" t="s">
        <v>37</v>
      </c>
      <c r="AX191" s="12" t="s">
        <v>81</v>
      </c>
      <c r="AY191" s="157" t="s">
        <v>184</v>
      </c>
    </row>
    <row r="192" spans="2:65" s="12" customFormat="1" ht="11.25" x14ac:dyDescent="0.3">
      <c r="B192" s="155"/>
      <c r="D192" s="156" t="s">
        <v>195</v>
      </c>
      <c r="E192" s="157" t="s">
        <v>1</v>
      </c>
      <c r="F192" s="158" t="s">
        <v>827</v>
      </c>
      <c r="H192" s="159">
        <v>5.016</v>
      </c>
      <c r="I192" s="160"/>
      <c r="L192" s="155"/>
      <c r="M192" s="161"/>
      <c r="T192" s="162"/>
      <c r="AT192" s="157" t="s">
        <v>195</v>
      </c>
      <c r="AU192" s="157" t="s">
        <v>20</v>
      </c>
      <c r="AV192" s="12" t="s">
        <v>20</v>
      </c>
      <c r="AW192" s="12" t="s">
        <v>37</v>
      </c>
      <c r="AX192" s="12" t="s">
        <v>81</v>
      </c>
      <c r="AY192" s="157" t="s">
        <v>184</v>
      </c>
    </row>
    <row r="193" spans="2:65" s="12" customFormat="1" ht="11.25" x14ac:dyDescent="0.3">
      <c r="B193" s="155"/>
      <c r="D193" s="156" t="s">
        <v>195</v>
      </c>
      <c r="E193" s="157" t="s">
        <v>1</v>
      </c>
      <c r="F193" s="158" t="s">
        <v>828</v>
      </c>
      <c r="H193" s="159">
        <v>36.386000000000003</v>
      </c>
      <c r="I193" s="160"/>
      <c r="L193" s="155"/>
      <c r="M193" s="161"/>
      <c r="T193" s="162"/>
      <c r="AT193" s="157" t="s">
        <v>195</v>
      </c>
      <c r="AU193" s="157" t="s">
        <v>20</v>
      </c>
      <c r="AV193" s="12" t="s">
        <v>20</v>
      </c>
      <c r="AW193" s="12" t="s">
        <v>37</v>
      </c>
      <c r="AX193" s="12" t="s">
        <v>81</v>
      </c>
      <c r="AY193" s="157" t="s">
        <v>184</v>
      </c>
    </row>
    <row r="194" spans="2:65" s="13" customFormat="1" ht="11.25" x14ac:dyDescent="0.3">
      <c r="B194" s="163"/>
      <c r="D194" s="156" t="s">
        <v>195</v>
      </c>
      <c r="E194" s="164" t="s">
        <v>1</v>
      </c>
      <c r="F194" s="165" t="s">
        <v>230</v>
      </c>
      <c r="H194" s="166">
        <v>174.458</v>
      </c>
      <c r="I194" s="167"/>
      <c r="L194" s="163"/>
      <c r="M194" s="168"/>
      <c r="T194" s="169"/>
      <c r="AT194" s="164" t="s">
        <v>195</v>
      </c>
      <c r="AU194" s="164" t="s">
        <v>20</v>
      </c>
      <c r="AV194" s="13" t="s">
        <v>191</v>
      </c>
      <c r="AW194" s="13" t="s">
        <v>37</v>
      </c>
      <c r="AX194" s="13" t="s">
        <v>88</v>
      </c>
      <c r="AY194" s="164" t="s">
        <v>184</v>
      </c>
    </row>
    <row r="195" spans="2:65" s="1" customFormat="1" ht="16.5" customHeight="1" x14ac:dyDescent="0.3">
      <c r="B195" s="33"/>
      <c r="C195" s="172" t="s">
        <v>311</v>
      </c>
      <c r="D195" s="172" t="s">
        <v>271</v>
      </c>
      <c r="E195" s="173" t="s">
        <v>829</v>
      </c>
      <c r="F195" s="174" t="s">
        <v>830</v>
      </c>
      <c r="G195" s="175" t="s">
        <v>248</v>
      </c>
      <c r="H195" s="176">
        <v>348.916</v>
      </c>
      <c r="I195" s="177">
        <v>398.07</v>
      </c>
      <c r="J195" s="178">
        <f>ROUND(I195*H195,2)</f>
        <v>138892.99</v>
      </c>
      <c r="K195" s="174" t="s">
        <v>1</v>
      </c>
      <c r="L195" s="179"/>
      <c r="M195" s="180" t="s">
        <v>1</v>
      </c>
      <c r="N195" s="181" t="s">
        <v>47</v>
      </c>
      <c r="O195" s="147">
        <v>0</v>
      </c>
      <c r="P195" s="147">
        <f>O195*H195</f>
        <v>0</v>
      </c>
      <c r="Q195" s="147">
        <v>1</v>
      </c>
      <c r="R195" s="147">
        <f>Q195*H195</f>
        <v>348.916</v>
      </c>
      <c r="S195" s="147">
        <v>0</v>
      </c>
      <c r="T195" s="148">
        <f>S195*H195</f>
        <v>0</v>
      </c>
      <c r="AR195" s="149" t="s">
        <v>239</v>
      </c>
      <c r="AT195" s="149" t="s">
        <v>271</v>
      </c>
      <c r="AU195" s="149" t="s">
        <v>20</v>
      </c>
      <c r="AY195" s="18" t="s">
        <v>184</v>
      </c>
      <c r="BE195" s="150">
        <f>IF(N195="základní",J195,0)</f>
        <v>138892.99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8" t="s">
        <v>88</v>
      </c>
      <c r="BK195" s="150">
        <f>ROUND(I195*H195,2)</f>
        <v>138892.99</v>
      </c>
      <c r="BL195" s="18" t="s">
        <v>191</v>
      </c>
      <c r="BM195" s="149" t="s">
        <v>831</v>
      </c>
    </row>
    <row r="196" spans="2:65" s="12" customFormat="1" ht="11.25" x14ac:dyDescent="0.3">
      <c r="B196" s="155"/>
      <c r="D196" s="156" t="s">
        <v>195</v>
      </c>
      <c r="E196" s="157" t="s">
        <v>1</v>
      </c>
      <c r="F196" s="158" t="s">
        <v>832</v>
      </c>
      <c r="H196" s="159">
        <v>348.916</v>
      </c>
      <c r="I196" s="160"/>
      <c r="L196" s="155"/>
      <c r="M196" s="161"/>
      <c r="T196" s="162"/>
      <c r="AT196" s="157" t="s">
        <v>195</v>
      </c>
      <c r="AU196" s="157" t="s">
        <v>20</v>
      </c>
      <c r="AV196" s="12" t="s">
        <v>20</v>
      </c>
      <c r="AW196" s="12" t="s">
        <v>37</v>
      </c>
      <c r="AX196" s="12" t="s">
        <v>88</v>
      </c>
      <c r="AY196" s="157" t="s">
        <v>184</v>
      </c>
    </row>
    <row r="197" spans="2:65" s="11" customFormat="1" ht="22.9" customHeight="1" x14ac:dyDescent="0.2">
      <c r="B197" s="127"/>
      <c r="D197" s="128" t="s">
        <v>80</v>
      </c>
      <c r="E197" s="136" t="s">
        <v>191</v>
      </c>
      <c r="F197" s="136" t="s">
        <v>833</v>
      </c>
      <c r="I197" s="171"/>
      <c r="J197" s="137">
        <f>BK197</f>
        <v>103232.33</v>
      </c>
      <c r="L197" s="127"/>
      <c r="M197" s="131"/>
      <c r="P197" s="132">
        <f>SUM(P198:P210)</f>
        <v>110.33095999999999</v>
      </c>
      <c r="R197" s="132">
        <f>SUM(R198:R210)</f>
        <v>120.14522299999999</v>
      </c>
      <c r="T197" s="133">
        <f>SUM(T198:T210)</f>
        <v>0</v>
      </c>
      <c r="AR197" s="128" t="s">
        <v>88</v>
      </c>
      <c r="AT197" s="134" t="s">
        <v>80</v>
      </c>
      <c r="AU197" s="134" t="s">
        <v>88</v>
      </c>
      <c r="AY197" s="128" t="s">
        <v>184</v>
      </c>
      <c r="BK197" s="135">
        <f>SUM(BK198:BK210)</f>
        <v>103232.33</v>
      </c>
    </row>
    <row r="198" spans="2:65" s="1" customFormat="1" ht="16.5" customHeight="1" x14ac:dyDescent="0.3">
      <c r="B198" s="33"/>
      <c r="C198" s="138" t="s">
        <v>6</v>
      </c>
      <c r="D198" s="138" t="s">
        <v>186</v>
      </c>
      <c r="E198" s="139" t="s">
        <v>834</v>
      </c>
      <c r="F198" s="140" t="s">
        <v>835</v>
      </c>
      <c r="G198" s="141" t="s">
        <v>217</v>
      </c>
      <c r="H198" s="142">
        <v>60.451999999999998</v>
      </c>
      <c r="I198" s="143">
        <v>1366.85</v>
      </c>
      <c r="J198" s="144">
        <f>ROUND(I198*H198,2)</f>
        <v>82628.820000000007</v>
      </c>
      <c r="K198" s="140" t="s">
        <v>658</v>
      </c>
      <c r="L198" s="33"/>
      <c r="M198" s="145" t="s">
        <v>1</v>
      </c>
      <c r="N198" s="146" t="s">
        <v>47</v>
      </c>
      <c r="O198" s="147">
        <v>1.6950000000000001</v>
      </c>
      <c r="P198" s="147">
        <f>O198*H198</f>
        <v>102.46614</v>
      </c>
      <c r="Q198" s="147">
        <v>1.8907700000000001</v>
      </c>
      <c r="R198" s="147">
        <f>Q198*H198</f>
        <v>114.30082804</v>
      </c>
      <c r="S198" s="147">
        <v>0</v>
      </c>
      <c r="T198" s="148">
        <f>S198*H198</f>
        <v>0</v>
      </c>
      <c r="AR198" s="149" t="s">
        <v>191</v>
      </c>
      <c r="AT198" s="149" t="s">
        <v>186</v>
      </c>
      <c r="AU198" s="149" t="s">
        <v>20</v>
      </c>
      <c r="AY198" s="18" t="s">
        <v>184</v>
      </c>
      <c r="BE198" s="150">
        <f>IF(N198="základní",J198,0)</f>
        <v>82628.820000000007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8" t="s">
        <v>88</v>
      </c>
      <c r="BK198" s="150">
        <f>ROUND(I198*H198,2)</f>
        <v>82628.820000000007</v>
      </c>
      <c r="BL198" s="18" t="s">
        <v>191</v>
      </c>
      <c r="BM198" s="149" t="s">
        <v>836</v>
      </c>
    </row>
    <row r="199" spans="2:65" s="12" customFormat="1" ht="11.25" x14ac:dyDescent="0.3">
      <c r="B199" s="155"/>
      <c r="D199" s="156" t="s">
        <v>195</v>
      </c>
      <c r="E199" s="157" t="s">
        <v>1</v>
      </c>
      <c r="F199" s="158" t="s">
        <v>837</v>
      </c>
      <c r="H199" s="159">
        <v>46.2</v>
      </c>
      <c r="I199" s="160"/>
      <c r="L199" s="155"/>
      <c r="M199" s="161"/>
      <c r="T199" s="162"/>
      <c r="AT199" s="157" t="s">
        <v>195</v>
      </c>
      <c r="AU199" s="157" t="s">
        <v>20</v>
      </c>
      <c r="AV199" s="12" t="s">
        <v>20</v>
      </c>
      <c r="AW199" s="12" t="s">
        <v>37</v>
      </c>
      <c r="AX199" s="12" t="s">
        <v>81</v>
      </c>
      <c r="AY199" s="157" t="s">
        <v>184</v>
      </c>
    </row>
    <row r="200" spans="2:65" s="12" customFormat="1" ht="11.25" x14ac:dyDescent="0.3">
      <c r="B200" s="155"/>
      <c r="D200" s="156" t="s">
        <v>195</v>
      </c>
      <c r="E200" s="157" t="s">
        <v>1</v>
      </c>
      <c r="F200" s="158" t="s">
        <v>838</v>
      </c>
      <c r="H200" s="159">
        <v>1.5960000000000001</v>
      </c>
      <c r="I200" s="160"/>
      <c r="L200" s="155"/>
      <c r="M200" s="161"/>
      <c r="T200" s="162"/>
      <c r="AT200" s="157" t="s">
        <v>195</v>
      </c>
      <c r="AU200" s="157" t="s">
        <v>20</v>
      </c>
      <c r="AV200" s="12" t="s">
        <v>20</v>
      </c>
      <c r="AW200" s="12" t="s">
        <v>37</v>
      </c>
      <c r="AX200" s="12" t="s">
        <v>81</v>
      </c>
      <c r="AY200" s="157" t="s">
        <v>184</v>
      </c>
    </row>
    <row r="201" spans="2:65" s="12" customFormat="1" ht="11.25" x14ac:dyDescent="0.3">
      <c r="B201" s="155"/>
      <c r="D201" s="156" t="s">
        <v>195</v>
      </c>
      <c r="E201" s="157" t="s">
        <v>1</v>
      </c>
      <c r="F201" s="158" t="s">
        <v>839</v>
      </c>
      <c r="H201" s="159">
        <v>12.656000000000001</v>
      </c>
      <c r="I201" s="160"/>
      <c r="L201" s="155"/>
      <c r="M201" s="161"/>
      <c r="T201" s="162"/>
      <c r="AT201" s="157" t="s">
        <v>195</v>
      </c>
      <c r="AU201" s="157" t="s">
        <v>20</v>
      </c>
      <c r="AV201" s="12" t="s">
        <v>20</v>
      </c>
      <c r="AW201" s="12" t="s">
        <v>37</v>
      </c>
      <c r="AX201" s="12" t="s">
        <v>81</v>
      </c>
      <c r="AY201" s="157" t="s">
        <v>184</v>
      </c>
    </row>
    <row r="202" spans="2:65" s="13" customFormat="1" ht="11.25" x14ac:dyDescent="0.3">
      <c r="B202" s="163"/>
      <c r="D202" s="156" t="s">
        <v>195</v>
      </c>
      <c r="E202" s="164" t="s">
        <v>1</v>
      </c>
      <c r="F202" s="165" t="s">
        <v>230</v>
      </c>
      <c r="H202" s="166">
        <v>60.452000000000005</v>
      </c>
      <c r="I202" s="167"/>
      <c r="L202" s="163"/>
      <c r="M202" s="168"/>
      <c r="T202" s="169"/>
      <c r="AT202" s="164" t="s">
        <v>195</v>
      </c>
      <c r="AU202" s="164" t="s">
        <v>20</v>
      </c>
      <c r="AV202" s="13" t="s">
        <v>191</v>
      </c>
      <c r="AW202" s="13" t="s">
        <v>37</v>
      </c>
      <c r="AX202" s="13" t="s">
        <v>88</v>
      </c>
      <c r="AY202" s="164" t="s">
        <v>184</v>
      </c>
    </row>
    <row r="203" spans="2:65" s="1" customFormat="1" ht="21.75" customHeight="1" x14ac:dyDescent="0.3">
      <c r="B203" s="33"/>
      <c r="C203" s="138" t="s">
        <v>322</v>
      </c>
      <c r="D203" s="138" t="s">
        <v>186</v>
      </c>
      <c r="E203" s="139" t="s">
        <v>840</v>
      </c>
      <c r="F203" s="140" t="s">
        <v>841</v>
      </c>
      <c r="G203" s="141" t="s">
        <v>217</v>
      </c>
      <c r="H203" s="142">
        <v>2.3479999999999999</v>
      </c>
      <c r="I203" s="143">
        <v>5973.81</v>
      </c>
      <c r="J203" s="144">
        <f>ROUND(I203*H203,2)</f>
        <v>14026.51</v>
      </c>
      <c r="K203" s="140" t="s">
        <v>190</v>
      </c>
      <c r="L203" s="33"/>
      <c r="M203" s="145" t="s">
        <v>1</v>
      </c>
      <c r="N203" s="146" t="s">
        <v>47</v>
      </c>
      <c r="O203" s="147">
        <v>1.4650000000000001</v>
      </c>
      <c r="P203" s="147">
        <f>O203*H203</f>
        <v>3.4398200000000001</v>
      </c>
      <c r="Q203" s="147">
        <v>2.3010199999999998</v>
      </c>
      <c r="R203" s="147">
        <f>Q203*H203</f>
        <v>5.4027949599999996</v>
      </c>
      <c r="S203" s="147">
        <v>0</v>
      </c>
      <c r="T203" s="148">
        <f>S203*H203</f>
        <v>0</v>
      </c>
      <c r="AR203" s="149" t="s">
        <v>191</v>
      </c>
      <c r="AT203" s="149" t="s">
        <v>186</v>
      </c>
      <c r="AU203" s="149" t="s">
        <v>20</v>
      </c>
      <c r="AY203" s="18" t="s">
        <v>184</v>
      </c>
      <c r="BE203" s="150">
        <f>IF(N203="základní",J203,0)</f>
        <v>14026.51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8" t="s">
        <v>88</v>
      </c>
      <c r="BK203" s="150">
        <f>ROUND(I203*H203,2)</f>
        <v>14026.51</v>
      </c>
      <c r="BL203" s="18" t="s">
        <v>191</v>
      </c>
      <c r="BM203" s="149" t="s">
        <v>842</v>
      </c>
    </row>
    <row r="204" spans="2:65" s="1" customFormat="1" x14ac:dyDescent="0.3">
      <c r="B204" s="33"/>
      <c r="D204" s="151" t="s">
        <v>193</v>
      </c>
      <c r="F204" s="152" t="s">
        <v>843</v>
      </c>
      <c r="I204" s="153"/>
      <c r="L204" s="33"/>
      <c r="M204" s="154"/>
      <c r="T204" s="57"/>
      <c r="AT204" s="18" t="s">
        <v>193</v>
      </c>
      <c r="AU204" s="18" t="s">
        <v>20</v>
      </c>
    </row>
    <row r="205" spans="2:65" s="12" customFormat="1" ht="11.25" x14ac:dyDescent="0.3">
      <c r="B205" s="155"/>
      <c r="D205" s="156" t="s">
        <v>195</v>
      </c>
      <c r="E205" s="157" t="s">
        <v>1</v>
      </c>
      <c r="F205" s="158" t="s">
        <v>844</v>
      </c>
      <c r="H205" s="159">
        <v>1.673</v>
      </c>
      <c r="I205" s="160"/>
      <c r="L205" s="155"/>
      <c r="M205" s="161"/>
      <c r="T205" s="162"/>
      <c r="AT205" s="157" t="s">
        <v>195</v>
      </c>
      <c r="AU205" s="157" t="s">
        <v>20</v>
      </c>
      <c r="AV205" s="12" t="s">
        <v>20</v>
      </c>
      <c r="AW205" s="12" t="s">
        <v>37</v>
      </c>
      <c r="AX205" s="12" t="s">
        <v>81</v>
      </c>
      <c r="AY205" s="157" t="s">
        <v>184</v>
      </c>
    </row>
    <row r="206" spans="2:65" s="12" customFormat="1" ht="11.25" x14ac:dyDescent="0.3">
      <c r="B206" s="155"/>
      <c r="D206" s="156" t="s">
        <v>195</v>
      </c>
      <c r="E206" s="157" t="s">
        <v>1</v>
      </c>
      <c r="F206" s="158" t="s">
        <v>845</v>
      </c>
      <c r="H206" s="159">
        <v>0.67500000000000004</v>
      </c>
      <c r="I206" s="160"/>
      <c r="L206" s="155"/>
      <c r="M206" s="161"/>
      <c r="T206" s="162"/>
      <c r="AT206" s="157" t="s">
        <v>195</v>
      </c>
      <c r="AU206" s="157" t="s">
        <v>20</v>
      </c>
      <c r="AV206" s="12" t="s">
        <v>20</v>
      </c>
      <c r="AW206" s="12" t="s">
        <v>37</v>
      </c>
      <c r="AX206" s="12" t="s">
        <v>81</v>
      </c>
      <c r="AY206" s="157" t="s">
        <v>184</v>
      </c>
    </row>
    <row r="207" spans="2:65" s="13" customFormat="1" ht="11.25" x14ac:dyDescent="0.3">
      <c r="B207" s="163"/>
      <c r="D207" s="156" t="s">
        <v>195</v>
      </c>
      <c r="E207" s="164" t="s">
        <v>1</v>
      </c>
      <c r="F207" s="165" t="s">
        <v>230</v>
      </c>
      <c r="H207" s="166">
        <v>2.3479999999999999</v>
      </c>
      <c r="I207" s="167"/>
      <c r="L207" s="163"/>
      <c r="M207" s="168"/>
      <c r="T207" s="169"/>
      <c r="AT207" s="164" t="s">
        <v>195</v>
      </c>
      <c r="AU207" s="164" t="s">
        <v>20</v>
      </c>
      <c r="AV207" s="13" t="s">
        <v>191</v>
      </c>
      <c r="AW207" s="13" t="s">
        <v>37</v>
      </c>
      <c r="AX207" s="13" t="s">
        <v>88</v>
      </c>
      <c r="AY207" s="164" t="s">
        <v>184</v>
      </c>
    </row>
    <row r="208" spans="2:65" s="1" customFormat="1" ht="16.5" customHeight="1" x14ac:dyDescent="0.3">
      <c r="B208" s="33"/>
      <c r="C208" s="138" t="s">
        <v>328</v>
      </c>
      <c r="D208" s="138" t="s">
        <v>186</v>
      </c>
      <c r="E208" s="139" t="s">
        <v>846</v>
      </c>
      <c r="F208" s="140" t="s">
        <v>847</v>
      </c>
      <c r="G208" s="141" t="s">
        <v>557</v>
      </c>
      <c r="H208" s="142">
        <v>5</v>
      </c>
      <c r="I208" s="143">
        <v>1315.4</v>
      </c>
      <c r="J208" s="144">
        <f>ROUND(I208*H208,2)</f>
        <v>6577</v>
      </c>
      <c r="K208" s="140" t="s">
        <v>190</v>
      </c>
      <c r="L208" s="33"/>
      <c r="M208" s="145" t="s">
        <v>1</v>
      </c>
      <c r="N208" s="146" t="s">
        <v>47</v>
      </c>
      <c r="O208" s="147">
        <v>0.88500000000000001</v>
      </c>
      <c r="P208" s="147">
        <f>O208*H208</f>
        <v>4.4249999999999998</v>
      </c>
      <c r="Q208" s="147">
        <v>8.8319999999999996E-2</v>
      </c>
      <c r="R208" s="147">
        <f>Q208*H208</f>
        <v>0.44159999999999999</v>
      </c>
      <c r="S208" s="147">
        <v>0</v>
      </c>
      <c r="T208" s="148">
        <f>S208*H208</f>
        <v>0</v>
      </c>
      <c r="AR208" s="149" t="s">
        <v>191</v>
      </c>
      <c r="AT208" s="149" t="s">
        <v>186</v>
      </c>
      <c r="AU208" s="149" t="s">
        <v>20</v>
      </c>
      <c r="AY208" s="18" t="s">
        <v>184</v>
      </c>
      <c r="BE208" s="150">
        <f>IF(N208="základní",J208,0)</f>
        <v>6577</v>
      </c>
      <c r="BF208" s="150">
        <f>IF(N208="snížená",J208,0)</f>
        <v>0</v>
      </c>
      <c r="BG208" s="150">
        <f>IF(N208="zákl. přenesená",J208,0)</f>
        <v>0</v>
      </c>
      <c r="BH208" s="150">
        <f>IF(N208="sníž. přenesená",J208,0)</f>
        <v>0</v>
      </c>
      <c r="BI208" s="150">
        <f>IF(N208="nulová",J208,0)</f>
        <v>0</v>
      </c>
      <c r="BJ208" s="18" t="s">
        <v>88</v>
      </c>
      <c r="BK208" s="150">
        <f>ROUND(I208*H208,2)</f>
        <v>6577</v>
      </c>
      <c r="BL208" s="18" t="s">
        <v>191</v>
      </c>
      <c r="BM208" s="149" t="s">
        <v>848</v>
      </c>
    </row>
    <row r="209" spans="2:65" s="1" customFormat="1" x14ac:dyDescent="0.3">
      <c r="B209" s="33"/>
      <c r="D209" s="151" t="s">
        <v>193</v>
      </c>
      <c r="F209" s="152" t="s">
        <v>849</v>
      </c>
      <c r="I209" s="153"/>
      <c r="L209" s="33"/>
      <c r="M209" s="154"/>
      <c r="T209" s="57"/>
      <c r="AT209" s="18" t="s">
        <v>193</v>
      </c>
      <c r="AU209" s="18" t="s">
        <v>20</v>
      </c>
    </row>
    <row r="210" spans="2:65" s="1" customFormat="1" ht="19.5" x14ac:dyDescent="0.3">
      <c r="B210" s="33"/>
      <c r="D210" s="156" t="s">
        <v>236</v>
      </c>
      <c r="F210" s="170" t="s">
        <v>850</v>
      </c>
      <c r="I210" s="153"/>
      <c r="L210" s="33"/>
      <c r="M210" s="154"/>
      <c r="T210" s="57"/>
      <c r="AT210" s="18" t="s">
        <v>236</v>
      </c>
      <c r="AU210" s="18" t="s">
        <v>20</v>
      </c>
    </row>
    <row r="211" spans="2:65" s="11" customFormat="1" ht="22.9" customHeight="1" x14ac:dyDescent="0.2">
      <c r="B211" s="127"/>
      <c r="D211" s="128" t="s">
        <v>80</v>
      </c>
      <c r="E211" s="136" t="s">
        <v>239</v>
      </c>
      <c r="F211" s="136" t="s">
        <v>851</v>
      </c>
      <c r="I211" s="171"/>
      <c r="J211" s="137">
        <f>BK211</f>
        <v>2198908.83</v>
      </c>
      <c r="L211" s="127"/>
      <c r="M211" s="131"/>
      <c r="P211" s="132">
        <f>SUM(P212:P303)</f>
        <v>467.67844000000014</v>
      </c>
      <c r="R211" s="132">
        <f>SUM(R212:R303)</f>
        <v>33.341508200000007</v>
      </c>
      <c r="T211" s="133">
        <f>SUM(T212:T303)</f>
        <v>1.845</v>
      </c>
      <c r="AR211" s="128" t="s">
        <v>88</v>
      </c>
      <c r="AT211" s="134" t="s">
        <v>80</v>
      </c>
      <c r="AU211" s="134" t="s">
        <v>88</v>
      </c>
      <c r="AY211" s="128" t="s">
        <v>184</v>
      </c>
      <c r="BK211" s="135">
        <f>SUM(BK212:BK303)</f>
        <v>2198908.83</v>
      </c>
    </row>
    <row r="212" spans="2:65" s="1" customFormat="1" ht="16.5" customHeight="1" x14ac:dyDescent="0.3">
      <c r="B212" s="33"/>
      <c r="C212" s="138" t="s">
        <v>334</v>
      </c>
      <c r="D212" s="138" t="s">
        <v>186</v>
      </c>
      <c r="E212" s="139" t="s">
        <v>852</v>
      </c>
      <c r="F212" s="140" t="s">
        <v>853</v>
      </c>
      <c r="G212" s="141" t="s">
        <v>210</v>
      </c>
      <c r="H212" s="142">
        <v>123</v>
      </c>
      <c r="I212" s="143">
        <v>190.9</v>
      </c>
      <c r="J212" s="144">
        <f>ROUND(I212*H212,2)</f>
        <v>23480.7</v>
      </c>
      <c r="K212" s="140" t="s">
        <v>190</v>
      </c>
      <c r="L212" s="33"/>
      <c r="M212" s="145" t="s">
        <v>1</v>
      </c>
      <c r="N212" s="146" t="s">
        <v>47</v>
      </c>
      <c r="O212" s="147">
        <v>0.06</v>
      </c>
      <c r="P212" s="147">
        <f>O212*H212</f>
        <v>7.38</v>
      </c>
      <c r="Q212" s="147">
        <v>0</v>
      </c>
      <c r="R212" s="147">
        <f>Q212*H212</f>
        <v>0</v>
      </c>
      <c r="S212" s="147">
        <v>1.4999999999999999E-2</v>
      </c>
      <c r="T212" s="148">
        <f>S212*H212</f>
        <v>1.845</v>
      </c>
      <c r="AR212" s="149" t="s">
        <v>191</v>
      </c>
      <c r="AT212" s="149" t="s">
        <v>186</v>
      </c>
      <c r="AU212" s="149" t="s">
        <v>20</v>
      </c>
      <c r="AY212" s="18" t="s">
        <v>184</v>
      </c>
      <c r="BE212" s="150">
        <f>IF(N212="základní",J212,0)</f>
        <v>23480.7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8" t="s">
        <v>88</v>
      </c>
      <c r="BK212" s="150">
        <f>ROUND(I212*H212,2)</f>
        <v>23480.7</v>
      </c>
      <c r="BL212" s="18" t="s">
        <v>191</v>
      </c>
      <c r="BM212" s="149" t="s">
        <v>854</v>
      </c>
    </row>
    <row r="213" spans="2:65" s="1" customFormat="1" x14ac:dyDescent="0.3">
      <c r="B213" s="33"/>
      <c r="D213" s="151" t="s">
        <v>193</v>
      </c>
      <c r="F213" s="152" t="s">
        <v>855</v>
      </c>
      <c r="I213" s="153"/>
      <c r="L213" s="33"/>
      <c r="M213" s="154"/>
      <c r="T213" s="57"/>
      <c r="AT213" s="18" t="s">
        <v>193</v>
      </c>
      <c r="AU213" s="18" t="s">
        <v>20</v>
      </c>
    </row>
    <row r="214" spans="2:65" s="1" customFormat="1" ht="19.5" x14ac:dyDescent="0.3">
      <c r="B214" s="33"/>
      <c r="D214" s="156" t="s">
        <v>236</v>
      </c>
      <c r="F214" s="170" t="s">
        <v>856</v>
      </c>
      <c r="I214" s="153"/>
      <c r="L214" s="33"/>
      <c r="M214" s="154"/>
      <c r="T214" s="57"/>
      <c r="AT214" s="18" t="s">
        <v>236</v>
      </c>
      <c r="AU214" s="18" t="s">
        <v>20</v>
      </c>
    </row>
    <row r="215" spans="2:65" s="12" customFormat="1" ht="11.25" x14ac:dyDescent="0.3">
      <c r="B215" s="155"/>
      <c r="D215" s="156" t="s">
        <v>195</v>
      </c>
      <c r="E215" s="157" t="s">
        <v>1</v>
      </c>
      <c r="F215" s="158" t="s">
        <v>857</v>
      </c>
      <c r="H215" s="159">
        <v>123</v>
      </c>
      <c r="I215" s="160"/>
      <c r="L215" s="155"/>
      <c r="M215" s="161"/>
      <c r="T215" s="162"/>
      <c r="AT215" s="157" t="s">
        <v>195</v>
      </c>
      <c r="AU215" s="157" t="s">
        <v>20</v>
      </c>
      <c r="AV215" s="12" t="s">
        <v>20</v>
      </c>
      <c r="AW215" s="12" t="s">
        <v>37</v>
      </c>
      <c r="AX215" s="12" t="s">
        <v>88</v>
      </c>
      <c r="AY215" s="157" t="s">
        <v>184</v>
      </c>
    </row>
    <row r="216" spans="2:65" s="1" customFormat="1" ht="16.5" customHeight="1" x14ac:dyDescent="0.3">
      <c r="B216" s="33"/>
      <c r="C216" s="138" t="s">
        <v>340</v>
      </c>
      <c r="D216" s="138" t="s">
        <v>186</v>
      </c>
      <c r="E216" s="139" t="s">
        <v>858</v>
      </c>
      <c r="F216" s="140" t="s">
        <v>859</v>
      </c>
      <c r="G216" s="141" t="s">
        <v>210</v>
      </c>
      <c r="H216" s="142">
        <v>158.19999999999999</v>
      </c>
      <c r="I216" s="143">
        <v>381.79</v>
      </c>
      <c r="J216" s="144">
        <f>ROUND(I216*H216,2)</f>
        <v>60399.18</v>
      </c>
      <c r="K216" s="140" t="s">
        <v>190</v>
      </c>
      <c r="L216" s="33"/>
      <c r="M216" s="145" t="s">
        <v>1</v>
      </c>
      <c r="N216" s="146" t="s">
        <v>47</v>
      </c>
      <c r="O216" s="147">
        <v>0.29199999999999998</v>
      </c>
      <c r="P216" s="147">
        <f>O216*H216</f>
        <v>46.194399999999995</v>
      </c>
      <c r="Q216" s="147">
        <v>1.0000000000000001E-5</v>
      </c>
      <c r="R216" s="147">
        <f>Q216*H216</f>
        <v>1.5820000000000001E-3</v>
      </c>
      <c r="S216" s="147">
        <v>0</v>
      </c>
      <c r="T216" s="148">
        <f>S216*H216</f>
        <v>0</v>
      </c>
      <c r="AR216" s="149" t="s">
        <v>191</v>
      </c>
      <c r="AT216" s="149" t="s">
        <v>186</v>
      </c>
      <c r="AU216" s="149" t="s">
        <v>20</v>
      </c>
      <c r="AY216" s="18" t="s">
        <v>184</v>
      </c>
      <c r="BE216" s="150">
        <f>IF(N216="základní",J216,0)</f>
        <v>60399.18</v>
      </c>
      <c r="BF216" s="150">
        <f>IF(N216="snížená",J216,0)</f>
        <v>0</v>
      </c>
      <c r="BG216" s="150">
        <f>IF(N216="zákl. přenesená",J216,0)</f>
        <v>0</v>
      </c>
      <c r="BH216" s="150">
        <f>IF(N216="sníž. přenesená",J216,0)</f>
        <v>0</v>
      </c>
      <c r="BI216" s="150">
        <f>IF(N216="nulová",J216,0)</f>
        <v>0</v>
      </c>
      <c r="BJ216" s="18" t="s">
        <v>88</v>
      </c>
      <c r="BK216" s="150">
        <f>ROUND(I216*H216,2)</f>
        <v>60399.18</v>
      </c>
      <c r="BL216" s="18" t="s">
        <v>191</v>
      </c>
      <c r="BM216" s="149" t="s">
        <v>860</v>
      </c>
    </row>
    <row r="217" spans="2:65" s="1" customFormat="1" x14ac:dyDescent="0.3">
      <c r="B217" s="33"/>
      <c r="D217" s="151" t="s">
        <v>193</v>
      </c>
      <c r="F217" s="152" t="s">
        <v>861</v>
      </c>
      <c r="I217" s="153"/>
      <c r="L217" s="33"/>
      <c r="M217" s="154"/>
      <c r="T217" s="57"/>
      <c r="AT217" s="18" t="s">
        <v>193</v>
      </c>
      <c r="AU217" s="18" t="s">
        <v>20</v>
      </c>
    </row>
    <row r="218" spans="2:65" s="12" customFormat="1" ht="11.25" x14ac:dyDescent="0.3">
      <c r="B218" s="155"/>
      <c r="D218" s="156" t="s">
        <v>195</v>
      </c>
      <c r="E218" s="157" t="s">
        <v>1</v>
      </c>
      <c r="F218" s="158" t="s">
        <v>862</v>
      </c>
      <c r="H218" s="159">
        <v>35</v>
      </c>
      <c r="I218" s="160"/>
      <c r="L218" s="155"/>
      <c r="M218" s="161"/>
      <c r="T218" s="162"/>
      <c r="AT218" s="157" t="s">
        <v>195</v>
      </c>
      <c r="AU218" s="157" t="s">
        <v>20</v>
      </c>
      <c r="AV218" s="12" t="s">
        <v>20</v>
      </c>
      <c r="AW218" s="12" t="s">
        <v>37</v>
      </c>
      <c r="AX218" s="12" t="s">
        <v>81</v>
      </c>
      <c r="AY218" s="157" t="s">
        <v>184</v>
      </c>
    </row>
    <row r="219" spans="2:65" s="12" customFormat="1" ht="11.25" x14ac:dyDescent="0.3">
      <c r="B219" s="155"/>
      <c r="D219" s="156" t="s">
        <v>195</v>
      </c>
      <c r="E219" s="157" t="s">
        <v>1</v>
      </c>
      <c r="F219" s="158" t="s">
        <v>863</v>
      </c>
      <c r="H219" s="159">
        <v>123.2</v>
      </c>
      <c r="I219" s="160"/>
      <c r="L219" s="155"/>
      <c r="M219" s="161"/>
      <c r="T219" s="162"/>
      <c r="AT219" s="157" t="s">
        <v>195</v>
      </c>
      <c r="AU219" s="157" t="s">
        <v>20</v>
      </c>
      <c r="AV219" s="12" t="s">
        <v>20</v>
      </c>
      <c r="AW219" s="12" t="s">
        <v>37</v>
      </c>
      <c r="AX219" s="12" t="s">
        <v>81</v>
      </c>
      <c r="AY219" s="157" t="s">
        <v>184</v>
      </c>
    </row>
    <row r="220" spans="2:65" s="13" customFormat="1" ht="11.25" x14ac:dyDescent="0.3">
      <c r="B220" s="163"/>
      <c r="D220" s="156" t="s">
        <v>195</v>
      </c>
      <c r="E220" s="164" t="s">
        <v>1</v>
      </c>
      <c r="F220" s="165" t="s">
        <v>230</v>
      </c>
      <c r="H220" s="166">
        <v>158.19999999999999</v>
      </c>
      <c r="I220" s="167"/>
      <c r="L220" s="163"/>
      <c r="M220" s="168"/>
      <c r="T220" s="169"/>
      <c r="AT220" s="164" t="s">
        <v>195</v>
      </c>
      <c r="AU220" s="164" t="s">
        <v>20</v>
      </c>
      <c r="AV220" s="13" t="s">
        <v>191</v>
      </c>
      <c r="AW220" s="13" t="s">
        <v>37</v>
      </c>
      <c r="AX220" s="13" t="s">
        <v>88</v>
      </c>
      <c r="AY220" s="164" t="s">
        <v>184</v>
      </c>
    </row>
    <row r="221" spans="2:65" s="1" customFormat="1" ht="16.5" customHeight="1" x14ac:dyDescent="0.3">
      <c r="B221" s="33"/>
      <c r="C221" s="172" t="s">
        <v>346</v>
      </c>
      <c r="D221" s="172" t="s">
        <v>271</v>
      </c>
      <c r="E221" s="173" t="s">
        <v>864</v>
      </c>
      <c r="F221" s="174" t="s">
        <v>865</v>
      </c>
      <c r="G221" s="175" t="s">
        <v>210</v>
      </c>
      <c r="H221" s="176">
        <v>162.946</v>
      </c>
      <c r="I221" s="177">
        <v>329.94</v>
      </c>
      <c r="J221" s="178">
        <f>ROUND(I221*H221,2)</f>
        <v>53762.400000000001</v>
      </c>
      <c r="K221" s="174" t="s">
        <v>190</v>
      </c>
      <c r="L221" s="179"/>
      <c r="M221" s="180" t="s">
        <v>1</v>
      </c>
      <c r="N221" s="181" t="s">
        <v>47</v>
      </c>
      <c r="O221" s="147">
        <v>0</v>
      </c>
      <c r="P221" s="147">
        <f>O221*H221</f>
        <v>0</v>
      </c>
      <c r="Q221" s="147">
        <v>2.8999999999999998E-3</v>
      </c>
      <c r="R221" s="147">
        <f>Q221*H221</f>
        <v>0.47254339999999995</v>
      </c>
      <c r="S221" s="147">
        <v>0</v>
      </c>
      <c r="T221" s="148">
        <f>S221*H221</f>
        <v>0</v>
      </c>
      <c r="AR221" s="149" t="s">
        <v>239</v>
      </c>
      <c r="AT221" s="149" t="s">
        <v>271</v>
      </c>
      <c r="AU221" s="149" t="s">
        <v>20</v>
      </c>
      <c r="AY221" s="18" t="s">
        <v>184</v>
      </c>
      <c r="BE221" s="150">
        <f>IF(N221="základní",J221,0)</f>
        <v>53762.400000000001</v>
      </c>
      <c r="BF221" s="150">
        <f>IF(N221="snížená",J221,0)</f>
        <v>0</v>
      </c>
      <c r="BG221" s="150">
        <f>IF(N221="zákl. přenesená",J221,0)</f>
        <v>0</v>
      </c>
      <c r="BH221" s="150">
        <f>IF(N221="sníž. přenesená",J221,0)</f>
        <v>0</v>
      </c>
      <c r="BI221" s="150">
        <f>IF(N221="nulová",J221,0)</f>
        <v>0</v>
      </c>
      <c r="BJ221" s="18" t="s">
        <v>88</v>
      </c>
      <c r="BK221" s="150">
        <f>ROUND(I221*H221,2)</f>
        <v>53762.400000000001</v>
      </c>
      <c r="BL221" s="18" t="s">
        <v>191</v>
      </c>
      <c r="BM221" s="149" t="s">
        <v>866</v>
      </c>
    </row>
    <row r="222" spans="2:65" s="1" customFormat="1" ht="19.5" x14ac:dyDescent="0.3">
      <c r="B222" s="33"/>
      <c r="D222" s="156" t="s">
        <v>236</v>
      </c>
      <c r="F222" s="170" t="s">
        <v>867</v>
      </c>
      <c r="I222" s="153"/>
      <c r="L222" s="33"/>
      <c r="M222" s="154"/>
      <c r="T222" s="57"/>
      <c r="AT222" s="18" t="s">
        <v>236</v>
      </c>
      <c r="AU222" s="18" t="s">
        <v>20</v>
      </c>
    </row>
    <row r="223" spans="2:65" s="12" customFormat="1" ht="11.25" x14ac:dyDescent="0.3">
      <c r="B223" s="155"/>
      <c r="D223" s="156" t="s">
        <v>195</v>
      </c>
      <c r="E223" s="157" t="s">
        <v>1</v>
      </c>
      <c r="F223" s="158" t="s">
        <v>868</v>
      </c>
      <c r="H223" s="159">
        <v>162.946</v>
      </c>
      <c r="I223" s="160"/>
      <c r="L223" s="155"/>
      <c r="M223" s="161"/>
      <c r="T223" s="162"/>
      <c r="AT223" s="157" t="s">
        <v>195</v>
      </c>
      <c r="AU223" s="157" t="s">
        <v>20</v>
      </c>
      <c r="AV223" s="12" t="s">
        <v>20</v>
      </c>
      <c r="AW223" s="12" t="s">
        <v>37</v>
      </c>
      <c r="AX223" s="12" t="s">
        <v>88</v>
      </c>
      <c r="AY223" s="157" t="s">
        <v>184</v>
      </c>
    </row>
    <row r="224" spans="2:65" s="1" customFormat="1" ht="16.5" customHeight="1" x14ac:dyDescent="0.3">
      <c r="B224" s="33"/>
      <c r="C224" s="138" t="s">
        <v>353</v>
      </c>
      <c r="D224" s="138" t="s">
        <v>186</v>
      </c>
      <c r="E224" s="139" t="s">
        <v>869</v>
      </c>
      <c r="F224" s="140" t="s">
        <v>870</v>
      </c>
      <c r="G224" s="141" t="s">
        <v>210</v>
      </c>
      <c r="H224" s="142">
        <v>11.4</v>
      </c>
      <c r="I224" s="143">
        <v>610.87</v>
      </c>
      <c r="J224" s="144">
        <f>ROUND(I224*H224,2)</f>
        <v>6963.92</v>
      </c>
      <c r="K224" s="140" t="s">
        <v>190</v>
      </c>
      <c r="L224" s="33"/>
      <c r="M224" s="145" t="s">
        <v>1</v>
      </c>
      <c r="N224" s="146" t="s">
        <v>47</v>
      </c>
      <c r="O224" s="147">
        <v>0.36</v>
      </c>
      <c r="P224" s="147">
        <f>O224*H224</f>
        <v>4.1040000000000001</v>
      </c>
      <c r="Q224" s="147">
        <v>2.0000000000000002E-5</v>
      </c>
      <c r="R224" s="147">
        <f>Q224*H224</f>
        <v>2.2800000000000001E-4</v>
      </c>
      <c r="S224" s="147">
        <v>0</v>
      </c>
      <c r="T224" s="148">
        <f>S224*H224</f>
        <v>0</v>
      </c>
      <c r="AR224" s="149" t="s">
        <v>191</v>
      </c>
      <c r="AT224" s="149" t="s">
        <v>186</v>
      </c>
      <c r="AU224" s="149" t="s">
        <v>20</v>
      </c>
      <c r="AY224" s="18" t="s">
        <v>184</v>
      </c>
      <c r="BE224" s="150">
        <f>IF(N224="základní",J224,0)</f>
        <v>6963.92</v>
      </c>
      <c r="BF224" s="150">
        <f>IF(N224="snížená",J224,0)</f>
        <v>0</v>
      </c>
      <c r="BG224" s="150">
        <f>IF(N224="zákl. přenesená",J224,0)</f>
        <v>0</v>
      </c>
      <c r="BH224" s="150">
        <f>IF(N224="sníž. přenesená",J224,0)</f>
        <v>0</v>
      </c>
      <c r="BI224" s="150">
        <f>IF(N224="nulová",J224,0)</f>
        <v>0</v>
      </c>
      <c r="BJ224" s="18" t="s">
        <v>88</v>
      </c>
      <c r="BK224" s="150">
        <f>ROUND(I224*H224,2)</f>
        <v>6963.92</v>
      </c>
      <c r="BL224" s="18" t="s">
        <v>191</v>
      </c>
      <c r="BM224" s="149" t="s">
        <v>871</v>
      </c>
    </row>
    <row r="225" spans="2:65" s="1" customFormat="1" x14ac:dyDescent="0.3">
      <c r="B225" s="33"/>
      <c r="D225" s="151" t="s">
        <v>193</v>
      </c>
      <c r="F225" s="152" t="s">
        <v>872</v>
      </c>
      <c r="I225" s="153"/>
      <c r="L225" s="33"/>
      <c r="M225" s="154"/>
      <c r="T225" s="57"/>
      <c r="AT225" s="18" t="s">
        <v>193</v>
      </c>
      <c r="AU225" s="18" t="s">
        <v>20</v>
      </c>
    </row>
    <row r="226" spans="2:65" s="12" customFormat="1" ht="11.25" x14ac:dyDescent="0.3">
      <c r="B226" s="155"/>
      <c r="D226" s="156" t="s">
        <v>195</v>
      </c>
      <c r="E226" s="157" t="s">
        <v>1</v>
      </c>
      <c r="F226" s="158" t="s">
        <v>873</v>
      </c>
      <c r="H226" s="159">
        <v>11.4</v>
      </c>
      <c r="I226" s="160"/>
      <c r="L226" s="155"/>
      <c r="M226" s="161"/>
      <c r="T226" s="162"/>
      <c r="AT226" s="157" t="s">
        <v>195</v>
      </c>
      <c r="AU226" s="157" t="s">
        <v>20</v>
      </c>
      <c r="AV226" s="12" t="s">
        <v>20</v>
      </c>
      <c r="AW226" s="12" t="s">
        <v>37</v>
      </c>
      <c r="AX226" s="12" t="s">
        <v>88</v>
      </c>
      <c r="AY226" s="157" t="s">
        <v>184</v>
      </c>
    </row>
    <row r="227" spans="2:65" s="1" customFormat="1" ht="16.5" customHeight="1" x14ac:dyDescent="0.3">
      <c r="B227" s="33"/>
      <c r="C227" s="172" t="s">
        <v>360</v>
      </c>
      <c r="D227" s="172" t="s">
        <v>271</v>
      </c>
      <c r="E227" s="173" t="s">
        <v>874</v>
      </c>
      <c r="F227" s="174" t="s">
        <v>875</v>
      </c>
      <c r="G227" s="175" t="s">
        <v>210</v>
      </c>
      <c r="H227" s="176">
        <v>11.571</v>
      </c>
      <c r="I227" s="177">
        <v>1427.32</v>
      </c>
      <c r="J227" s="178">
        <f>ROUND(I227*H227,2)</f>
        <v>16515.52</v>
      </c>
      <c r="K227" s="174" t="s">
        <v>190</v>
      </c>
      <c r="L227" s="179"/>
      <c r="M227" s="180" t="s">
        <v>1</v>
      </c>
      <c r="N227" s="181" t="s">
        <v>47</v>
      </c>
      <c r="O227" s="147">
        <v>0</v>
      </c>
      <c r="P227" s="147">
        <f>O227*H227</f>
        <v>0</v>
      </c>
      <c r="Q227" s="147">
        <v>1.14E-2</v>
      </c>
      <c r="R227" s="147">
        <f>Q227*H227</f>
        <v>0.13190940000000001</v>
      </c>
      <c r="S227" s="147">
        <v>0</v>
      </c>
      <c r="T227" s="148">
        <f>S227*H227</f>
        <v>0</v>
      </c>
      <c r="AR227" s="149" t="s">
        <v>239</v>
      </c>
      <c r="AT227" s="149" t="s">
        <v>271</v>
      </c>
      <c r="AU227" s="149" t="s">
        <v>20</v>
      </c>
      <c r="AY227" s="18" t="s">
        <v>184</v>
      </c>
      <c r="BE227" s="150">
        <f>IF(N227="základní",J227,0)</f>
        <v>16515.52</v>
      </c>
      <c r="BF227" s="150">
        <f>IF(N227="snížená",J227,0)</f>
        <v>0</v>
      </c>
      <c r="BG227" s="150">
        <f>IF(N227="zákl. přenesená",J227,0)</f>
        <v>0</v>
      </c>
      <c r="BH227" s="150">
        <f>IF(N227="sníž. přenesená",J227,0)</f>
        <v>0</v>
      </c>
      <c r="BI227" s="150">
        <f>IF(N227="nulová",J227,0)</f>
        <v>0</v>
      </c>
      <c r="BJ227" s="18" t="s">
        <v>88</v>
      </c>
      <c r="BK227" s="150">
        <f>ROUND(I227*H227,2)</f>
        <v>16515.52</v>
      </c>
      <c r="BL227" s="18" t="s">
        <v>191</v>
      </c>
      <c r="BM227" s="149" t="s">
        <v>876</v>
      </c>
    </row>
    <row r="228" spans="2:65" s="12" customFormat="1" ht="11.25" x14ac:dyDescent="0.3">
      <c r="B228" s="155"/>
      <c r="D228" s="156" t="s">
        <v>195</v>
      </c>
      <c r="E228" s="157" t="s">
        <v>1</v>
      </c>
      <c r="F228" s="158" t="s">
        <v>877</v>
      </c>
      <c r="H228" s="159">
        <v>11.571</v>
      </c>
      <c r="I228" s="160"/>
      <c r="L228" s="155"/>
      <c r="M228" s="161"/>
      <c r="T228" s="162"/>
      <c r="AT228" s="157" t="s">
        <v>195</v>
      </c>
      <c r="AU228" s="157" t="s">
        <v>20</v>
      </c>
      <c r="AV228" s="12" t="s">
        <v>20</v>
      </c>
      <c r="AW228" s="12" t="s">
        <v>37</v>
      </c>
      <c r="AX228" s="12" t="s">
        <v>88</v>
      </c>
      <c r="AY228" s="157" t="s">
        <v>184</v>
      </c>
    </row>
    <row r="229" spans="2:65" s="1" customFormat="1" ht="16.5" customHeight="1" x14ac:dyDescent="0.3">
      <c r="B229" s="33"/>
      <c r="C229" s="138" t="s">
        <v>368</v>
      </c>
      <c r="D229" s="138" t="s">
        <v>186</v>
      </c>
      <c r="E229" s="139" t="s">
        <v>878</v>
      </c>
      <c r="F229" s="140" t="s">
        <v>879</v>
      </c>
      <c r="G229" s="141" t="s">
        <v>210</v>
      </c>
      <c r="H229" s="142">
        <v>184.8</v>
      </c>
      <c r="I229" s="143">
        <v>916.31</v>
      </c>
      <c r="J229" s="144">
        <f>ROUND(I229*H229,2)</f>
        <v>169334.09</v>
      </c>
      <c r="K229" s="140" t="s">
        <v>190</v>
      </c>
      <c r="L229" s="33"/>
      <c r="M229" s="145" t="s">
        <v>1</v>
      </c>
      <c r="N229" s="146" t="s">
        <v>47</v>
      </c>
      <c r="O229" s="147">
        <v>0.441</v>
      </c>
      <c r="P229" s="147">
        <f>O229*H229</f>
        <v>81.496800000000007</v>
      </c>
      <c r="Q229" s="147">
        <v>3.0000000000000001E-5</v>
      </c>
      <c r="R229" s="147">
        <f>Q229*H229</f>
        <v>5.5440000000000003E-3</v>
      </c>
      <c r="S229" s="147">
        <v>0</v>
      </c>
      <c r="T229" s="148">
        <f>S229*H229</f>
        <v>0</v>
      </c>
      <c r="AR229" s="149" t="s">
        <v>191</v>
      </c>
      <c r="AT229" s="149" t="s">
        <v>186</v>
      </c>
      <c r="AU229" s="149" t="s">
        <v>20</v>
      </c>
      <c r="AY229" s="18" t="s">
        <v>184</v>
      </c>
      <c r="BE229" s="150">
        <f>IF(N229="základní",J229,0)</f>
        <v>169334.09</v>
      </c>
      <c r="BF229" s="150">
        <f>IF(N229="snížená",J229,0)</f>
        <v>0</v>
      </c>
      <c r="BG229" s="150">
        <f>IF(N229="zákl. přenesená",J229,0)</f>
        <v>0</v>
      </c>
      <c r="BH229" s="150">
        <f>IF(N229="sníž. přenesená",J229,0)</f>
        <v>0</v>
      </c>
      <c r="BI229" s="150">
        <f>IF(N229="nulová",J229,0)</f>
        <v>0</v>
      </c>
      <c r="BJ229" s="18" t="s">
        <v>88</v>
      </c>
      <c r="BK229" s="150">
        <f>ROUND(I229*H229,2)</f>
        <v>169334.09</v>
      </c>
      <c r="BL229" s="18" t="s">
        <v>191</v>
      </c>
      <c r="BM229" s="149" t="s">
        <v>880</v>
      </c>
    </row>
    <row r="230" spans="2:65" s="1" customFormat="1" x14ac:dyDescent="0.3">
      <c r="B230" s="33"/>
      <c r="D230" s="151" t="s">
        <v>193</v>
      </c>
      <c r="F230" s="152" t="s">
        <v>881</v>
      </c>
      <c r="I230" s="153"/>
      <c r="L230" s="33"/>
      <c r="M230" s="154"/>
      <c r="T230" s="57"/>
      <c r="AT230" s="18" t="s">
        <v>193</v>
      </c>
      <c r="AU230" s="18" t="s">
        <v>20</v>
      </c>
    </row>
    <row r="231" spans="2:65" s="12" customFormat="1" ht="11.25" x14ac:dyDescent="0.3">
      <c r="B231" s="155"/>
      <c r="D231" s="156" t="s">
        <v>195</v>
      </c>
      <c r="E231" s="157" t="s">
        <v>1</v>
      </c>
      <c r="F231" s="158" t="s">
        <v>882</v>
      </c>
      <c r="H231" s="159">
        <v>184.8</v>
      </c>
      <c r="I231" s="160"/>
      <c r="L231" s="155"/>
      <c r="M231" s="161"/>
      <c r="T231" s="162"/>
      <c r="AT231" s="157" t="s">
        <v>195</v>
      </c>
      <c r="AU231" s="157" t="s">
        <v>20</v>
      </c>
      <c r="AV231" s="12" t="s">
        <v>20</v>
      </c>
      <c r="AW231" s="12" t="s">
        <v>37</v>
      </c>
      <c r="AX231" s="12" t="s">
        <v>88</v>
      </c>
      <c r="AY231" s="157" t="s">
        <v>184</v>
      </c>
    </row>
    <row r="232" spans="2:65" s="1" customFormat="1" ht="16.5" customHeight="1" x14ac:dyDescent="0.3">
      <c r="B232" s="33"/>
      <c r="C232" s="172" t="s">
        <v>376</v>
      </c>
      <c r="D232" s="172" t="s">
        <v>271</v>
      </c>
      <c r="E232" s="173" t="s">
        <v>883</v>
      </c>
      <c r="F232" s="174" t="s">
        <v>884</v>
      </c>
      <c r="G232" s="175" t="s">
        <v>210</v>
      </c>
      <c r="H232" s="176">
        <v>187.572</v>
      </c>
      <c r="I232" s="177">
        <v>5813.93</v>
      </c>
      <c r="J232" s="178">
        <f>ROUND(I232*H232,2)</f>
        <v>1090530.48</v>
      </c>
      <c r="K232" s="174" t="s">
        <v>190</v>
      </c>
      <c r="L232" s="179"/>
      <c r="M232" s="180" t="s">
        <v>1</v>
      </c>
      <c r="N232" s="181" t="s">
        <v>47</v>
      </c>
      <c r="O232" s="147">
        <v>0</v>
      </c>
      <c r="P232" s="147">
        <f>O232*H232</f>
        <v>0</v>
      </c>
      <c r="Q232" s="147">
        <v>2.8400000000000002E-2</v>
      </c>
      <c r="R232" s="147">
        <f>Q232*H232</f>
        <v>5.3270448000000004</v>
      </c>
      <c r="S232" s="147">
        <v>0</v>
      </c>
      <c r="T232" s="148">
        <f>S232*H232</f>
        <v>0</v>
      </c>
      <c r="AR232" s="149" t="s">
        <v>239</v>
      </c>
      <c r="AT232" s="149" t="s">
        <v>271</v>
      </c>
      <c r="AU232" s="149" t="s">
        <v>20</v>
      </c>
      <c r="AY232" s="18" t="s">
        <v>184</v>
      </c>
      <c r="BE232" s="150">
        <f>IF(N232="základní",J232,0)</f>
        <v>1090530.48</v>
      </c>
      <c r="BF232" s="150">
        <f>IF(N232="snížená",J232,0)</f>
        <v>0</v>
      </c>
      <c r="BG232" s="150">
        <f>IF(N232="zákl. přenesená",J232,0)</f>
        <v>0</v>
      </c>
      <c r="BH232" s="150">
        <f>IF(N232="sníž. přenesená",J232,0)</f>
        <v>0</v>
      </c>
      <c r="BI232" s="150">
        <f>IF(N232="nulová",J232,0)</f>
        <v>0</v>
      </c>
      <c r="BJ232" s="18" t="s">
        <v>88</v>
      </c>
      <c r="BK232" s="150">
        <f>ROUND(I232*H232,2)</f>
        <v>1090530.48</v>
      </c>
      <c r="BL232" s="18" t="s">
        <v>191</v>
      </c>
      <c r="BM232" s="149" t="s">
        <v>885</v>
      </c>
    </row>
    <row r="233" spans="2:65" s="12" customFormat="1" ht="11.25" x14ac:dyDescent="0.3">
      <c r="B233" s="155"/>
      <c r="D233" s="156" t="s">
        <v>195</v>
      </c>
      <c r="E233" s="157" t="s">
        <v>1</v>
      </c>
      <c r="F233" s="158" t="s">
        <v>886</v>
      </c>
      <c r="H233" s="159">
        <v>187.572</v>
      </c>
      <c r="I233" s="160"/>
      <c r="L233" s="155"/>
      <c r="M233" s="161"/>
      <c r="T233" s="162"/>
      <c r="AT233" s="157" t="s">
        <v>195</v>
      </c>
      <c r="AU233" s="157" t="s">
        <v>20</v>
      </c>
      <c r="AV233" s="12" t="s">
        <v>20</v>
      </c>
      <c r="AW233" s="12" t="s">
        <v>37</v>
      </c>
      <c r="AX233" s="12" t="s">
        <v>88</v>
      </c>
      <c r="AY233" s="157" t="s">
        <v>184</v>
      </c>
    </row>
    <row r="234" spans="2:65" s="1" customFormat="1" ht="16.5" customHeight="1" x14ac:dyDescent="0.3">
      <c r="B234" s="33"/>
      <c r="C234" s="138" t="s">
        <v>385</v>
      </c>
      <c r="D234" s="138" t="s">
        <v>186</v>
      </c>
      <c r="E234" s="139" t="s">
        <v>887</v>
      </c>
      <c r="F234" s="140" t="s">
        <v>888</v>
      </c>
      <c r="G234" s="141" t="s">
        <v>557</v>
      </c>
      <c r="H234" s="142">
        <v>61</v>
      </c>
      <c r="I234" s="143">
        <v>687.23</v>
      </c>
      <c r="J234" s="144">
        <f>ROUND(I234*H234,2)</f>
        <v>41921.03</v>
      </c>
      <c r="K234" s="140" t="s">
        <v>658</v>
      </c>
      <c r="L234" s="33"/>
      <c r="M234" s="145" t="s">
        <v>1</v>
      </c>
      <c r="N234" s="146" t="s">
        <v>47</v>
      </c>
      <c r="O234" s="147">
        <v>0.68300000000000005</v>
      </c>
      <c r="P234" s="147">
        <f>O234*H234</f>
        <v>41.663000000000004</v>
      </c>
      <c r="Q234" s="147">
        <v>0</v>
      </c>
      <c r="R234" s="147">
        <f>Q234*H234</f>
        <v>0</v>
      </c>
      <c r="S234" s="147">
        <v>0</v>
      </c>
      <c r="T234" s="148">
        <f>S234*H234</f>
        <v>0</v>
      </c>
      <c r="AR234" s="149" t="s">
        <v>191</v>
      </c>
      <c r="AT234" s="149" t="s">
        <v>186</v>
      </c>
      <c r="AU234" s="149" t="s">
        <v>20</v>
      </c>
      <c r="AY234" s="18" t="s">
        <v>184</v>
      </c>
      <c r="BE234" s="150">
        <f>IF(N234="základní",J234,0)</f>
        <v>41921.03</v>
      </c>
      <c r="BF234" s="150">
        <f>IF(N234="snížená",J234,0)</f>
        <v>0</v>
      </c>
      <c r="BG234" s="150">
        <f>IF(N234="zákl. přenesená",J234,0)</f>
        <v>0</v>
      </c>
      <c r="BH234" s="150">
        <f>IF(N234="sníž. přenesená",J234,0)</f>
        <v>0</v>
      </c>
      <c r="BI234" s="150">
        <f>IF(N234="nulová",J234,0)</f>
        <v>0</v>
      </c>
      <c r="BJ234" s="18" t="s">
        <v>88</v>
      </c>
      <c r="BK234" s="150">
        <f>ROUND(I234*H234,2)</f>
        <v>41921.03</v>
      </c>
      <c r="BL234" s="18" t="s">
        <v>191</v>
      </c>
      <c r="BM234" s="149" t="s">
        <v>889</v>
      </c>
    </row>
    <row r="235" spans="2:65" s="1" customFormat="1" ht="16.5" customHeight="1" x14ac:dyDescent="0.3">
      <c r="B235" s="33"/>
      <c r="C235" s="172" t="s">
        <v>392</v>
      </c>
      <c r="D235" s="172" t="s">
        <v>271</v>
      </c>
      <c r="E235" s="173" t="s">
        <v>890</v>
      </c>
      <c r="F235" s="174" t="s">
        <v>891</v>
      </c>
      <c r="G235" s="175" t="s">
        <v>557</v>
      </c>
      <c r="H235" s="176">
        <v>29</v>
      </c>
      <c r="I235" s="177">
        <v>138.08000000000001</v>
      </c>
      <c r="J235" s="178">
        <f>ROUND(I235*H235,2)</f>
        <v>4004.32</v>
      </c>
      <c r="K235" s="174" t="s">
        <v>190</v>
      </c>
      <c r="L235" s="179"/>
      <c r="M235" s="180" t="s">
        <v>1</v>
      </c>
      <c r="N235" s="181" t="s">
        <v>47</v>
      </c>
      <c r="O235" s="147">
        <v>0</v>
      </c>
      <c r="P235" s="147">
        <f>O235*H235</f>
        <v>0</v>
      </c>
      <c r="Q235" s="147">
        <v>6.9999999999999999E-4</v>
      </c>
      <c r="R235" s="147">
        <f>Q235*H235</f>
        <v>2.0299999999999999E-2</v>
      </c>
      <c r="S235" s="147">
        <v>0</v>
      </c>
      <c r="T235" s="148">
        <f>S235*H235</f>
        <v>0</v>
      </c>
      <c r="AR235" s="149" t="s">
        <v>239</v>
      </c>
      <c r="AT235" s="149" t="s">
        <v>271</v>
      </c>
      <c r="AU235" s="149" t="s">
        <v>20</v>
      </c>
      <c r="AY235" s="18" t="s">
        <v>184</v>
      </c>
      <c r="BE235" s="150">
        <f>IF(N235="základní",J235,0)</f>
        <v>4004.32</v>
      </c>
      <c r="BF235" s="150">
        <f>IF(N235="snížená",J235,0)</f>
        <v>0</v>
      </c>
      <c r="BG235" s="150">
        <f>IF(N235="zákl. přenesená",J235,0)</f>
        <v>0</v>
      </c>
      <c r="BH235" s="150">
        <f>IF(N235="sníž. přenesená",J235,0)</f>
        <v>0</v>
      </c>
      <c r="BI235" s="150">
        <f>IF(N235="nulová",J235,0)</f>
        <v>0</v>
      </c>
      <c r="BJ235" s="18" t="s">
        <v>88</v>
      </c>
      <c r="BK235" s="150">
        <f>ROUND(I235*H235,2)</f>
        <v>4004.32</v>
      </c>
      <c r="BL235" s="18" t="s">
        <v>191</v>
      </c>
      <c r="BM235" s="149" t="s">
        <v>892</v>
      </c>
    </row>
    <row r="236" spans="2:65" s="1" customFormat="1" ht="16.5" customHeight="1" x14ac:dyDescent="0.3">
      <c r="B236" s="33"/>
      <c r="C236" s="172" t="s">
        <v>621</v>
      </c>
      <c r="D236" s="172" t="s">
        <v>271</v>
      </c>
      <c r="E236" s="173" t="s">
        <v>893</v>
      </c>
      <c r="F236" s="174" t="s">
        <v>894</v>
      </c>
      <c r="G236" s="175" t="s">
        <v>557</v>
      </c>
      <c r="H236" s="176">
        <v>32</v>
      </c>
      <c r="I236" s="177">
        <v>146.80000000000001</v>
      </c>
      <c r="J236" s="178">
        <f>ROUND(I236*H236,2)</f>
        <v>4697.6000000000004</v>
      </c>
      <c r="K236" s="174" t="s">
        <v>1</v>
      </c>
      <c r="L236" s="179"/>
      <c r="M236" s="180" t="s">
        <v>1</v>
      </c>
      <c r="N236" s="181" t="s">
        <v>47</v>
      </c>
      <c r="O236" s="147">
        <v>0</v>
      </c>
      <c r="P236" s="147">
        <f>O236*H236</f>
        <v>0</v>
      </c>
      <c r="Q236" s="147">
        <v>8.0000000000000004E-4</v>
      </c>
      <c r="R236" s="147">
        <f>Q236*H236</f>
        <v>2.5600000000000001E-2</v>
      </c>
      <c r="S236" s="147">
        <v>0</v>
      </c>
      <c r="T236" s="148">
        <f>S236*H236</f>
        <v>0</v>
      </c>
      <c r="AR236" s="149" t="s">
        <v>239</v>
      </c>
      <c r="AT236" s="149" t="s">
        <v>271</v>
      </c>
      <c r="AU236" s="149" t="s">
        <v>20</v>
      </c>
      <c r="AY236" s="18" t="s">
        <v>184</v>
      </c>
      <c r="BE236" s="150">
        <f>IF(N236="základní",J236,0)</f>
        <v>4697.6000000000004</v>
      </c>
      <c r="BF236" s="150">
        <f>IF(N236="snížená",J236,0)</f>
        <v>0</v>
      </c>
      <c r="BG236" s="150">
        <f>IF(N236="zákl. přenesená",J236,0)</f>
        <v>0</v>
      </c>
      <c r="BH236" s="150">
        <f>IF(N236="sníž. přenesená",J236,0)</f>
        <v>0</v>
      </c>
      <c r="BI236" s="150">
        <f>IF(N236="nulová",J236,0)</f>
        <v>0</v>
      </c>
      <c r="BJ236" s="18" t="s">
        <v>88</v>
      </c>
      <c r="BK236" s="150">
        <f>ROUND(I236*H236,2)</f>
        <v>4697.6000000000004</v>
      </c>
      <c r="BL236" s="18" t="s">
        <v>191</v>
      </c>
      <c r="BM236" s="149" t="s">
        <v>895</v>
      </c>
    </row>
    <row r="237" spans="2:65" s="1" customFormat="1" ht="16.5" customHeight="1" x14ac:dyDescent="0.3">
      <c r="B237" s="33"/>
      <c r="C237" s="138" t="s">
        <v>630</v>
      </c>
      <c r="D237" s="138" t="s">
        <v>186</v>
      </c>
      <c r="E237" s="139" t="s">
        <v>896</v>
      </c>
      <c r="F237" s="140" t="s">
        <v>897</v>
      </c>
      <c r="G237" s="141" t="s">
        <v>557</v>
      </c>
      <c r="H237" s="142">
        <v>1</v>
      </c>
      <c r="I237" s="143">
        <v>916.31</v>
      </c>
      <c r="J237" s="144">
        <f>ROUND(I237*H237,2)</f>
        <v>916.31</v>
      </c>
      <c r="K237" s="140" t="s">
        <v>190</v>
      </c>
      <c r="L237" s="33"/>
      <c r="M237" s="145" t="s">
        <v>1</v>
      </c>
      <c r="N237" s="146" t="s">
        <v>47</v>
      </c>
      <c r="O237" s="147">
        <v>1.1319999999999999</v>
      </c>
      <c r="P237" s="147">
        <f>O237*H237</f>
        <v>1.1319999999999999</v>
      </c>
      <c r="Q237" s="147">
        <v>0</v>
      </c>
      <c r="R237" s="147">
        <f>Q237*H237</f>
        <v>0</v>
      </c>
      <c r="S237" s="147">
        <v>0</v>
      </c>
      <c r="T237" s="148">
        <f>S237*H237</f>
        <v>0</v>
      </c>
      <c r="AR237" s="149" t="s">
        <v>191</v>
      </c>
      <c r="AT237" s="149" t="s">
        <v>186</v>
      </c>
      <c r="AU237" s="149" t="s">
        <v>20</v>
      </c>
      <c r="AY237" s="18" t="s">
        <v>184</v>
      </c>
      <c r="BE237" s="150">
        <f>IF(N237="základní",J237,0)</f>
        <v>916.31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8" t="s">
        <v>88</v>
      </c>
      <c r="BK237" s="150">
        <f>ROUND(I237*H237,2)</f>
        <v>916.31</v>
      </c>
      <c r="BL237" s="18" t="s">
        <v>191</v>
      </c>
      <c r="BM237" s="149" t="s">
        <v>898</v>
      </c>
    </row>
    <row r="238" spans="2:65" s="1" customFormat="1" x14ac:dyDescent="0.3">
      <c r="B238" s="33"/>
      <c r="D238" s="151" t="s">
        <v>193</v>
      </c>
      <c r="F238" s="152" t="s">
        <v>899</v>
      </c>
      <c r="I238" s="153"/>
      <c r="L238" s="33"/>
      <c r="M238" s="154"/>
      <c r="T238" s="57"/>
      <c r="AT238" s="18" t="s">
        <v>193</v>
      </c>
      <c r="AU238" s="18" t="s">
        <v>20</v>
      </c>
    </row>
    <row r="239" spans="2:65" s="1" customFormat="1" ht="16.5" customHeight="1" x14ac:dyDescent="0.3">
      <c r="B239" s="33"/>
      <c r="C239" s="172" t="s">
        <v>635</v>
      </c>
      <c r="D239" s="172" t="s">
        <v>271</v>
      </c>
      <c r="E239" s="173" t="s">
        <v>900</v>
      </c>
      <c r="F239" s="174" t="s">
        <v>901</v>
      </c>
      <c r="G239" s="175" t="s">
        <v>557</v>
      </c>
      <c r="H239" s="176">
        <v>1</v>
      </c>
      <c r="I239" s="177">
        <v>319.77</v>
      </c>
      <c r="J239" s="178">
        <f>ROUND(I239*H239,2)</f>
        <v>319.77</v>
      </c>
      <c r="K239" s="174" t="s">
        <v>190</v>
      </c>
      <c r="L239" s="179"/>
      <c r="M239" s="180" t="s">
        <v>1</v>
      </c>
      <c r="N239" s="181" t="s">
        <v>47</v>
      </c>
      <c r="O239" s="147">
        <v>0</v>
      </c>
      <c r="P239" s="147">
        <f>O239*H239</f>
        <v>0</v>
      </c>
      <c r="Q239" s="147">
        <v>1.8E-3</v>
      </c>
      <c r="R239" s="147">
        <f>Q239*H239</f>
        <v>1.8E-3</v>
      </c>
      <c r="S239" s="147">
        <v>0</v>
      </c>
      <c r="T239" s="148">
        <f>S239*H239</f>
        <v>0</v>
      </c>
      <c r="AR239" s="149" t="s">
        <v>239</v>
      </c>
      <c r="AT239" s="149" t="s">
        <v>271</v>
      </c>
      <c r="AU239" s="149" t="s">
        <v>20</v>
      </c>
      <c r="AY239" s="18" t="s">
        <v>184</v>
      </c>
      <c r="BE239" s="150">
        <f>IF(N239="základní",J239,0)</f>
        <v>319.77</v>
      </c>
      <c r="BF239" s="150">
        <f>IF(N239="snížená",J239,0)</f>
        <v>0</v>
      </c>
      <c r="BG239" s="150">
        <f>IF(N239="zákl. přenesená",J239,0)</f>
        <v>0</v>
      </c>
      <c r="BH239" s="150">
        <f>IF(N239="sníž. přenesená",J239,0)</f>
        <v>0</v>
      </c>
      <c r="BI239" s="150">
        <f>IF(N239="nulová",J239,0)</f>
        <v>0</v>
      </c>
      <c r="BJ239" s="18" t="s">
        <v>88</v>
      </c>
      <c r="BK239" s="150">
        <f>ROUND(I239*H239,2)</f>
        <v>319.77</v>
      </c>
      <c r="BL239" s="18" t="s">
        <v>191</v>
      </c>
      <c r="BM239" s="149" t="s">
        <v>902</v>
      </c>
    </row>
    <row r="240" spans="2:65" s="1" customFormat="1" ht="19.5" x14ac:dyDescent="0.3">
      <c r="B240" s="33"/>
      <c r="D240" s="156" t="s">
        <v>236</v>
      </c>
      <c r="F240" s="170" t="s">
        <v>903</v>
      </c>
      <c r="I240" s="153"/>
      <c r="L240" s="33"/>
      <c r="M240" s="154"/>
      <c r="T240" s="57"/>
      <c r="AT240" s="18" t="s">
        <v>236</v>
      </c>
      <c r="AU240" s="18" t="s">
        <v>20</v>
      </c>
    </row>
    <row r="241" spans="2:65" s="1" customFormat="1" ht="16.5" customHeight="1" x14ac:dyDescent="0.3">
      <c r="B241" s="33"/>
      <c r="C241" s="138" t="s">
        <v>642</v>
      </c>
      <c r="D241" s="138" t="s">
        <v>186</v>
      </c>
      <c r="E241" s="139" t="s">
        <v>904</v>
      </c>
      <c r="F241" s="140" t="s">
        <v>905</v>
      </c>
      <c r="G241" s="141" t="s">
        <v>557</v>
      </c>
      <c r="H241" s="142">
        <v>1</v>
      </c>
      <c r="I241" s="143">
        <v>1374.46</v>
      </c>
      <c r="J241" s="144">
        <f>ROUND(I241*H241,2)</f>
        <v>1374.46</v>
      </c>
      <c r="K241" s="140" t="s">
        <v>190</v>
      </c>
      <c r="L241" s="33"/>
      <c r="M241" s="145" t="s">
        <v>1</v>
      </c>
      <c r="N241" s="146" t="s">
        <v>47</v>
      </c>
      <c r="O241" s="147">
        <v>1.2310000000000001</v>
      </c>
      <c r="P241" s="147">
        <f>O241*H241</f>
        <v>1.2310000000000001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49" t="s">
        <v>191</v>
      </c>
      <c r="AT241" s="149" t="s">
        <v>186</v>
      </c>
      <c r="AU241" s="149" t="s">
        <v>20</v>
      </c>
      <c r="AY241" s="18" t="s">
        <v>184</v>
      </c>
      <c r="BE241" s="150">
        <f>IF(N241="základní",J241,0)</f>
        <v>1374.46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8" t="s">
        <v>88</v>
      </c>
      <c r="BK241" s="150">
        <f>ROUND(I241*H241,2)</f>
        <v>1374.46</v>
      </c>
      <c r="BL241" s="18" t="s">
        <v>191</v>
      </c>
      <c r="BM241" s="149" t="s">
        <v>906</v>
      </c>
    </row>
    <row r="242" spans="2:65" s="1" customFormat="1" x14ac:dyDescent="0.3">
      <c r="B242" s="33"/>
      <c r="D242" s="151" t="s">
        <v>193</v>
      </c>
      <c r="F242" s="152" t="s">
        <v>907</v>
      </c>
      <c r="I242" s="153"/>
      <c r="L242" s="33"/>
      <c r="M242" s="154"/>
      <c r="T242" s="57"/>
      <c r="AT242" s="18" t="s">
        <v>193</v>
      </c>
      <c r="AU242" s="18" t="s">
        <v>20</v>
      </c>
    </row>
    <row r="243" spans="2:65" s="1" customFormat="1" ht="16.5" customHeight="1" x14ac:dyDescent="0.3">
      <c r="B243" s="33"/>
      <c r="C243" s="172" t="s">
        <v>647</v>
      </c>
      <c r="D243" s="172" t="s">
        <v>271</v>
      </c>
      <c r="E243" s="173" t="s">
        <v>908</v>
      </c>
      <c r="F243" s="174" t="s">
        <v>909</v>
      </c>
      <c r="G243" s="175" t="s">
        <v>557</v>
      </c>
      <c r="H243" s="176">
        <v>1</v>
      </c>
      <c r="I243" s="177">
        <v>484.01</v>
      </c>
      <c r="J243" s="178">
        <f>ROUND(I243*H243,2)</f>
        <v>484.01</v>
      </c>
      <c r="K243" s="174" t="s">
        <v>190</v>
      </c>
      <c r="L243" s="179"/>
      <c r="M243" s="180" t="s">
        <v>1</v>
      </c>
      <c r="N243" s="181" t="s">
        <v>47</v>
      </c>
      <c r="O243" s="147">
        <v>0</v>
      </c>
      <c r="P243" s="147">
        <f>O243*H243</f>
        <v>0</v>
      </c>
      <c r="Q243" s="147">
        <v>6.2E-4</v>
      </c>
      <c r="R243" s="147">
        <f>Q243*H243</f>
        <v>6.2E-4</v>
      </c>
      <c r="S243" s="147">
        <v>0</v>
      </c>
      <c r="T243" s="148">
        <f>S243*H243</f>
        <v>0</v>
      </c>
      <c r="AR243" s="149" t="s">
        <v>239</v>
      </c>
      <c r="AT243" s="149" t="s">
        <v>271</v>
      </c>
      <c r="AU243" s="149" t="s">
        <v>20</v>
      </c>
      <c r="AY243" s="18" t="s">
        <v>184</v>
      </c>
      <c r="BE243" s="150">
        <f>IF(N243="základní",J243,0)</f>
        <v>484.01</v>
      </c>
      <c r="BF243" s="150">
        <f>IF(N243="snížená",J243,0)</f>
        <v>0</v>
      </c>
      <c r="BG243" s="150">
        <f>IF(N243="zákl. přenesená",J243,0)</f>
        <v>0</v>
      </c>
      <c r="BH243" s="150">
        <f>IF(N243="sníž. přenesená",J243,0)</f>
        <v>0</v>
      </c>
      <c r="BI243" s="150">
        <f>IF(N243="nulová",J243,0)</f>
        <v>0</v>
      </c>
      <c r="BJ243" s="18" t="s">
        <v>88</v>
      </c>
      <c r="BK243" s="150">
        <f>ROUND(I243*H243,2)</f>
        <v>484.01</v>
      </c>
      <c r="BL243" s="18" t="s">
        <v>191</v>
      </c>
      <c r="BM243" s="149" t="s">
        <v>910</v>
      </c>
    </row>
    <row r="244" spans="2:65" s="1" customFormat="1" ht="19.5" x14ac:dyDescent="0.3">
      <c r="B244" s="33"/>
      <c r="D244" s="156" t="s">
        <v>236</v>
      </c>
      <c r="F244" s="170" t="s">
        <v>911</v>
      </c>
      <c r="I244" s="153"/>
      <c r="L244" s="33"/>
      <c r="M244" s="154"/>
      <c r="T244" s="57"/>
      <c r="AT244" s="18" t="s">
        <v>236</v>
      </c>
      <c r="AU244" s="18" t="s">
        <v>20</v>
      </c>
    </row>
    <row r="245" spans="2:65" s="1" customFormat="1" ht="16.5" customHeight="1" x14ac:dyDescent="0.3">
      <c r="B245" s="33"/>
      <c r="C245" s="138" t="s">
        <v>650</v>
      </c>
      <c r="D245" s="138" t="s">
        <v>186</v>
      </c>
      <c r="E245" s="139" t="s">
        <v>912</v>
      </c>
      <c r="F245" s="140" t="s">
        <v>913</v>
      </c>
      <c r="G245" s="141" t="s">
        <v>557</v>
      </c>
      <c r="H245" s="142">
        <v>21</v>
      </c>
      <c r="I245" s="143">
        <v>3054.35</v>
      </c>
      <c r="J245" s="144">
        <f>ROUND(I245*H245,2)</f>
        <v>64141.35</v>
      </c>
      <c r="K245" s="140" t="s">
        <v>190</v>
      </c>
      <c r="L245" s="33"/>
      <c r="M245" s="145" t="s">
        <v>1</v>
      </c>
      <c r="N245" s="146" t="s">
        <v>47</v>
      </c>
      <c r="O245" s="147">
        <v>2.4049999999999998</v>
      </c>
      <c r="P245" s="147">
        <f>O245*H245</f>
        <v>50.504999999999995</v>
      </c>
      <c r="Q245" s="147">
        <v>1.0000000000000001E-5</v>
      </c>
      <c r="R245" s="147">
        <f>Q245*H245</f>
        <v>2.1000000000000001E-4</v>
      </c>
      <c r="S245" s="147">
        <v>0</v>
      </c>
      <c r="T245" s="148">
        <f>S245*H245</f>
        <v>0</v>
      </c>
      <c r="AR245" s="149" t="s">
        <v>191</v>
      </c>
      <c r="AT245" s="149" t="s">
        <v>186</v>
      </c>
      <c r="AU245" s="149" t="s">
        <v>20</v>
      </c>
      <c r="AY245" s="18" t="s">
        <v>184</v>
      </c>
      <c r="BE245" s="150">
        <f>IF(N245="základní",J245,0)</f>
        <v>64141.35</v>
      </c>
      <c r="BF245" s="150">
        <f>IF(N245="snížená",J245,0)</f>
        <v>0</v>
      </c>
      <c r="BG245" s="150">
        <f>IF(N245="zákl. přenesená",J245,0)</f>
        <v>0</v>
      </c>
      <c r="BH245" s="150">
        <f>IF(N245="sníž. přenesená",J245,0)</f>
        <v>0</v>
      </c>
      <c r="BI245" s="150">
        <f>IF(N245="nulová",J245,0)</f>
        <v>0</v>
      </c>
      <c r="BJ245" s="18" t="s">
        <v>88</v>
      </c>
      <c r="BK245" s="150">
        <f>ROUND(I245*H245,2)</f>
        <v>64141.35</v>
      </c>
      <c r="BL245" s="18" t="s">
        <v>191</v>
      </c>
      <c r="BM245" s="149" t="s">
        <v>914</v>
      </c>
    </row>
    <row r="246" spans="2:65" s="1" customFormat="1" x14ac:dyDescent="0.3">
      <c r="B246" s="33"/>
      <c r="D246" s="151" t="s">
        <v>193</v>
      </c>
      <c r="F246" s="152" t="s">
        <v>915</v>
      </c>
      <c r="I246" s="153"/>
      <c r="L246" s="33"/>
      <c r="M246" s="154"/>
      <c r="T246" s="57"/>
      <c r="AT246" s="18" t="s">
        <v>193</v>
      </c>
      <c r="AU246" s="18" t="s">
        <v>20</v>
      </c>
    </row>
    <row r="247" spans="2:65" s="1" customFormat="1" ht="16.5" customHeight="1" x14ac:dyDescent="0.3">
      <c r="B247" s="33"/>
      <c r="C247" s="172" t="s">
        <v>916</v>
      </c>
      <c r="D247" s="172" t="s">
        <v>271</v>
      </c>
      <c r="E247" s="173" t="s">
        <v>917</v>
      </c>
      <c r="F247" s="174" t="s">
        <v>918</v>
      </c>
      <c r="G247" s="175" t="s">
        <v>557</v>
      </c>
      <c r="H247" s="176">
        <v>21</v>
      </c>
      <c r="I247" s="177">
        <v>6049.39</v>
      </c>
      <c r="J247" s="178">
        <f>ROUND(I247*H247,2)</f>
        <v>127037.19</v>
      </c>
      <c r="K247" s="174" t="s">
        <v>190</v>
      </c>
      <c r="L247" s="179"/>
      <c r="M247" s="180" t="s">
        <v>1</v>
      </c>
      <c r="N247" s="181" t="s">
        <v>47</v>
      </c>
      <c r="O247" s="147">
        <v>0</v>
      </c>
      <c r="P247" s="147">
        <f>O247*H247</f>
        <v>0</v>
      </c>
      <c r="Q247" s="147">
        <v>2.0899999999999998E-2</v>
      </c>
      <c r="R247" s="147">
        <f>Q247*H247</f>
        <v>0.43889999999999996</v>
      </c>
      <c r="S247" s="147">
        <v>0</v>
      </c>
      <c r="T247" s="148">
        <f>S247*H247</f>
        <v>0</v>
      </c>
      <c r="AR247" s="149" t="s">
        <v>239</v>
      </c>
      <c r="AT247" s="149" t="s">
        <v>271</v>
      </c>
      <c r="AU247" s="149" t="s">
        <v>20</v>
      </c>
      <c r="AY247" s="18" t="s">
        <v>184</v>
      </c>
      <c r="BE247" s="150">
        <f>IF(N247="základní",J247,0)</f>
        <v>127037.19</v>
      </c>
      <c r="BF247" s="150">
        <f>IF(N247="snížená",J247,0)</f>
        <v>0</v>
      </c>
      <c r="BG247" s="150">
        <f>IF(N247="zákl. přenesená",J247,0)</f>
        <v>0</v>
      </c>
      <c r="BH247" s="150">
        <f>IF(N247="sníž. přenesená",J247,0)</f>
        <v>0</v>
      </c>
      <c r="BI247" s="150">
        <f>IF(N247="nulová",J247,0)</f>
        <v>0</v>
      </c>
      <c r="BJ247" s="18" t="s">
        <v>88</v>
      </c>
      <c r="BK247" s="150">
        <f>ROUND(I247*H247,2)</f>
        <v>127037.19</v>
      </c>
      <c r="BL247" s="18" t="s">
        <v>191</v>
      </c>
      <c r="BM247" s="149" t="s">
        <v>919</v>
      </c>
    </row>
    <row r="248" spans="2:65" s="1" customFormat="1" ht="19.5" x14ac:dyDescent="0.3">
      <c r="B248" s="33"/>
      <c r="D248" s="156" t="s">
        <v>236</v>
      </c>
      <c r="F248" s="170" t="s">
        <v>920</v>
      </c>
      <c r="I248" s="153"/>
      <c r="L248" s="33"/>
      <c r="M248" s="154"/>
      <c r="T248" s="57"/>
      <c r="AT248" s="18" t="s">
        <v>236</v>
      </c>
      <c r="AU248" s="18" t="s">
        <v>20</v>
      </c>
    </row>
    <row r="249" spans="2:65" s="1" customFormat="1" ht="16.5" customHeight="1" x14ac:dyDescent="0.3">
      <c r="B249" s="33"/>
      <c r="C249" s="138" t="s">
        <v>921</v>
      </c>
      <c r="D249" s="138" t="s">
        <v>186</v>
      </c>
      <c r="E249" s="139" t="s">
        <v>922</v>
      </c>
      <c r="F249" s="140" t="s">
        <v>923</v>
      </c>
      <c r="G249" s="141" t="s">
        <v>557</v>
      </c>
      <c r="H249" s="142">
        <v>1</v>
      </c>
      <c r="I249" s="143">
        <v>2290.7600000000002</v>
      </c>
      <c r="J249" s="144">
        <f>ROUND(I249*H249,2)</f>
        <v>2290.7600000000002</v>
      </c>
      <c r="K249" s="140" t="s">
        <v>190</v>
      </c>
      <c r="L249" s="33"/>
      <c r="M249" s="145" t="s">
        <v>1</v>
      </c>
      <c r="N249" s="146" t="s">
        <v>47</v>
      </c>
      <c r="O249" s="147">
        <v>1.639</v>
      </c>
      <c r="P249" s="147">
        <f>O249*H249</f>
        <v>1.639</v>
      </c>
      <c r="Q249" s="147">
        <v>1.0000000000000001E-5</v>
      </c>
      <c r="R249" s="147">
        <f>Q249*H249</f>
        <v>1.0000000000000001E-5</v>
      </c>
      <c r="S249" s="147">
        <v>0</v>
      </c>
      <c r="T249" s="148">
        <f>S249*H249</f>
        <v>0</v>
      </c>
      <c r="AR249" s="149" t="s">
        <v>191</v>
      </c>
      <c r="AT249" s="149" t="s">
        <v>186</v>
      </c>
      <c r="AU249" s="149" t="s">
        <v>20</v>
      </c>
      <c r="AY249" s="18" t="s">
        <v>184</v>
      </c>
      <c r="BE249" s="150">
        <f>IF(N249="základní",J249,0)</f>
        <v>2290.7600000000002</v>
      </c>
      <c r="BF249" s="150">
        <f>IF(N249="snížená",J249,0)</f>
        <v>0</v>
      </c>
      <c r="BG249" s="150">
        <f>IF(N249="zákl. přenesená",J249,0)</f>
        <v>0</v>
      </c>
      <c r="BH249" s="150">
        <f>IF(N249="sníž. přenesená",J249,0)</f>
        <v>0</v>
      </c>
      <c r="BI249" s="150">
        <f>IF(N249="nulová",J249,0)</f>
        <v>0</v>
      </c>
      <c r="BJ249" s="18" t="s">
        <v>88</v>
      </c>
      <c r="BK249" s="150">
        <f>ROUND(I249*H249,2)</f>
        <v>2290.7600000000002</v>
      </c>
      <c r="BL249" s="18" t="s">
        <v>191</v>
      </c>
      <c r="BM249" s="149" t="s">
        <v>924</v>
      </c>
    </row>
    <row r="250" spans="2:65" s="1" customFormat="1" x14ac:dyDescent="0.3">
      <c r="B250" s="33"/>
      <c r="D250" s="151" t="s">
        <v>193</v>
      </c>
      <c r="F250" s="152" t="s">
        <v>925</v>
      </c>
      <c r="I250" s="153"/>
      <c r="L250" s="33"/>
      <c r="M250" s="154"/>
      <c r="T250" s="57"/>
      <c r="AT250" s="18" t="s">
        <v>193</v>
      </c>
      <c r="AU250" s="18" t="s">
        <v>20</v>
      </c>
    </row>
    <row r="251" spans="2:65" s="1" customFormat="1" ht="16.5" customHeight="1" x14ac:dyDescent="0.3">
      <c r="B251" s="33"/>
      <c r="C251" s="172" t="s">
        <v>926</v>
      </c>
      <c r="D251" s="172" t="s">
        <v>271</v>
      </c>
      <c r="E251" s="173" t="s">
        <v>927</v>
      </c>
      <c r="F251" s="174" t="s">
        <v>928</v>
      </c>
      <c r="G251" s="175" t="s">
        <v>557</v>
      </c>
      <c r="H251" s="176">
        <v>1</v>
      </c>
      <c r="I251" s="177">
        <v>1058.1300000000001</v>
      </c>
      <c r="J251" s="178">
        <f>ROUND(I251*H251,2)</f>
        <v>1058.1300000000001</v>
      </c>
      <c r="K251" s="174" t="s">
        <v>190</v>
      </c>
      <c r="L251" s="179"/>
      <c r="M251" s="180" t="s">
        <v>1</v>
      </c>
      <c r="N251" s="181" t="s">
        <v>47</v>
      </c>
      <c r="O251" s="147">
        <v>0</v>
      </c>
      <c r="P251" s="147">
        <f>O251*H251</f>
        <v>0</v>
      </c>
      <c r="Q251" s="147">
        <v>4.5300000000000002E-3</v>
      </c>
      <c r="R251" s="147">
        <f>Q251*H251</f>
        <v>4.5300000000000002E-3</v>
      </c>
      <c r="S251" s="147">
        <v>0</v>
      </c>
      <c r="T251" s="148">
        <f>S251*H251</f>
        <v>0</v>
      </c>
      <c r="AR251" s="149" t="s">
        <v>239</v>
      </c>
      <c r="AT251" s="149" t="s">
        <v>271</v>
      </c>
      <c r="AU251" s="149" t="s">
        <v>20</v>
      </c>
      <c r="AY251" s="18" t="s">
        <v>184</v>
      </c>
      <c r="BE251" s="150">
        <f>IF(N251="základní",J251,0)</f>
        <v>1058.1300000000001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8" t="s">
        <v>88</v>
      </c>
      <c r="BK251" s="150">
        <f>ROUND(I251*H251,2)</f>
        <v>1058.1300000000001</v>
      </c>
      <c r="BL251" s="18" t="s">
        <v>191</v>
      </c>
      <c r="BM251" s="149" t="s">
        <v>929</v>
      </c>
    </row>
    <row r="252" spans="2:65" s="1" customFormat="1" ht="19.5" x14ac:dyDescent="0.3">
      <c r="B252" s="33"/>
      <c r="D252" s="156" t="s">
        <v>236</v>
      </c>
      <c r="F252" s="170" t="s">
        <v>930</v>
      </c>
      <c r="I252" s="153"/>
      <c r="L252" s="33"/>
      <c r="M252" s="154"/>
      <c r="T252" s="57"/>
      <c r="AT252" s="18" t="s">
        <v>236</v>
      </c>
      <c r="AU252" s="18" t="s">
        <v>20</v>
      </c>
    </row>
    <row r="253" spans="2:65" s="1" customFormat="1" ht="16.5" customHeight="1" x14ac:dyDescent="0.3">
      <c r="B253" s="33"/>
      <c r="C253" s="138" t="s">
        <v>27</v>
      </c>
      <c r="D253" s="138" t="s">
        <v>186</v>
      </c>
      <c r="E253" s="139" t="s">
        <v>931</v>
      </c>
      <c r="F253" s="140" t="s">
        <v>932</v>
      </c>
      <c r="G253" s="141" t="s">
        <v>210</v>
      </c>
      <c r="H253" s="142">
        <v>158.19999999999999</v>
      </c>
      <c r="I253" s="143">
        <v>91.63</v>
      </c>
      <c r="J253" s="144">
        <f>ROUND(I253*H253,2)</f>
        <v>14495.87</v>
      </c>
      <c r="K253" s="140" t="s">
        <v>190</v>
      </c>
      <c r="L253" s="33"/>
      <c r="M253" s="145" t="s">
        <v>1</v>
      </c>
      <c r="N253" s="146" t="s">
        <v>47</v>
      </c>
      <c r="O253" s="147">
        <v>5.5E-2</v>
      </c>
      <c r="P253" s="147">
        <f>O253*H253</f>
        <v>8.7009999999999987</v>
      </c>
      <c r="Q253" s="147">
        <v>0</v>
      </c>
      <c r="R253" s="147">
        <f>Q253*H253</f>
        <v>0</v>
      </c>
      <c r="S253" s="147">
        <v>0</v>
      </c>
      <c r="T253" s="148">
        <f>S253*H253</f>
        <v>0</v>
      </c>
      <c r="AR253" s="149" t="s">
        <v>191</v>
      </c>
      <c r="AT253" s="149" t="s">
        <v>186</v>
      </c>
      <c r="AU253" s="149" t="s">
        <v>20</v>
      </c>
      <c r="AY253" s="18" t="s">
        <v>184</v>
      </c>
      <c r="BE253" s="150">
        <f>IF(N253="základní",J253,0)</f>
        <v>14495.87</v>
      </c>
      <c r="BF253" s="150">
        <f>IF(N253="snížená",J253,0)</f>
        <v>0</v>
      </c>
      <c r="BG253" s="150">
        <f>IF(N253="zákl. přenesená",J253,0)</f>
        <v>0</v>
      </c>
      <c r="BH253" s="150">
        <f>IF(N253="sníž. přenesená",J253,0)</f>
        <v>0</v>
      </c>
      <c r="BI253" s="150">
        <f>IF(N253="nulová",J253,0)</f>
        <v>0</v>
      </c>
      <c r="BJ253" s="18" t="s">
        <v>88</v>
      </c>
      <c r="BK253" s="150">
        <f>ROUND(I253*H253,2)</f>
        <v>14495.87</v>
      </c>
      <c r="BL253" s="18" t="s">
        <v>191</v>
      </c>
      <c r="BM253" s="149" t="s">
        <v>933</v>
      </c>
    </row>
    <row r="254" spans="2:65" s="1" customFormat="1" x14ac:dyDescent="0.3">
      <c r="B254" s="33"/>
      <c r="D254" s="151" t="s">
        <v>193</v>
      </c>
      <c r="F254" s="152" t="s">
        <v>934</v>
      </c>
      <c r="I254" s="153"/>
      <c r="L254" s="33"/>
      <c r="M254" s="154"/>
      <c r="T254" s="57"/>
      <c r="AT254" s="18" t="s">
        <v>193</v>
      </c>
      <c r="AU254" s="18" t="s">
        <v>20</v>
      </c>
    </row>
    <row r="255" spans="2:65" s="1" customFormat="1" ht="19.5" x14ac:dyDescent="0.3">
      <c r="B255" s="33"/>
      <c r="D255" s="156" t="s">
        <v>236</v>
      </c>
      <c r="F255" s="170" t="s">
        <v>935</v>
      </c>
      <c r="I255" s="153"/>
      <c r="L255" s="33"/>
      <c r="M255" s="154"/>
      <c r="T255" s="57"/>
      <c r="AT255" s="18" t="s">
        <v>236</v>
      </c>
      <c r="AU255" s="18" t="s">
        <v>20</v>
      </c>
    </row>
    <row r="256" spans="2:65" s="1" customFormat="1" ht="16.5" customHeight="1" x14ac:dyDescent="0.3">
      <c r="B256" s="33"/>
      <c r="C256" s="138" t="s">
        <v>936</v>
      </c>
      <c r="D256" s="138" t="s">
        <v>186</v>
      </c>
      <c r="E256" s="139" t="s">
        <v>937</v>
      </c>
      <c r="F256" s="140" t="s">
        <v>938</v>
      </c>
      <c r="G256" s="141" t="s">
        <v>210</v>
      </c>
      <c r="H256" s="142">
        <v>11.4</v>
      </c>
      <c r="I256" s="143">
        <v>106.9</v>
      </c>
      <c r="J256" s="144">
        <f>ROUND(I256*H256,2)</f>
        <v>1218.6600000000001</v>
      </c>
      <c r="K256" s="140" t="s">
        <v>190</v>
      </c>
      <c r="L256" s="33"/>
      <c r="M256" s="145" t="s">
        <v>1</v>
      </c>
      <c r="N256" s="146" t="s">
        <v>47</v>
      </c>
      <c r="O256" s="147">
        <v>6.6000000000000003E-2</v>
      </c>
      <c r="P256" s="147">
        <f>O256*H256</f>
        <v>0.75240000000000007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49" t="s">
        <v>191</v>
      </c>
      <c r="AT256" s="149" t="s">
        <v>186</v>
      </c>
      <c r="AU256" s="149" t="s">
        <v>20</v>
      </c>
      <c r="AY256" s="18" t="s">
        <v>184</v>
      </c>
      <c r="BE256" s="150">
        <f>IF(N256="základní",J256,0)</f>
        <v>1218.6600000000001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8" t="s">
        <v>88</v>
      </c>
      <c r="BK256" s="150">
        <f>ROUND(I256*H256,2)</f>
        <v>1218.6600000000001</v>
      </c>
      <c r="BL256" s="18" t="s">
        <v>191</v>
      </c>
      <c r="BM256" s="149" t="s">
        <v>939</v>
      </c>
    </row>
    <row r="257" spans="2:65" s="1" customFormat="1" x14ac:dyDescent="0.3">
      <c r="B257" s="33"/>
      <c r="D257" s="151" t="s">
        <v>193</v>
      </c>
      <c r="F257" s="152" t="s">
        <v>940</v>
      </c>
      <c r="I257" s="153"/>
      <c r="L257" s="33"/>
      <c r="M257" s="154"/>
      <c r="T257" s="57"/>
      <c r="AT257" s="18" t="s">
        <v>193</v>
      </c>
      <c r="AU257" s="18" t="s">
        <v>20</v>
      </c>
    </row>
    <row r="258" spans="2:65" s="1" customFormat="1" ht="19.5" x14ac:dyDescent="0.3">
      <c r="B258" s="33"/>
      <c r="D258" s="156" t="s">
        <v>236</v>
      </c>
      <c r="F258" s="170" t="s">
        <v>935</v>
      </c>
      <c r="I258" s="153"/>
      <c r="L258" s="33"/>
      <c r="M258" s="154"/>
      <c r="T258" s="57"/>
      <c r="AT258" s="18" t="s">
        <v>236</v>
      </c>
      <c r="AU258" s="18" t="s">
        <v>20</v>
      </c>
    </row>
    <row r="259" spans="2:65" s="1" customFormat="1" ht="16.5" customHeight="1" x14ac:dyDescent="0.3">
      <c r="B259" s="33"/>
      <c r="C259" s="138" t="s">
        <v>941</v>
      </c>
      <c r="D259" s="138" t="s">
        <v>186</v>
      </c>
      <c r="E259" s="139" t="s">
        <v>942</v>
      </c>
      <c r="F259" s="140" t="s">
        <v>943</v>
      </c>
      <c r="G259" s="141" t="s">
        <v>210</v>
      </c>
      <c r="H259" s="142">
        <v>184.8</v>
      </c>
      <c r="I259" s="143">
        <v>122.17</v>
      </c>
      <c r="J259" s="144">
        <f>ROUND(I259*H259,2)</f>
        <v>22577.02</v>
      </c>
      <c r="K259" s="140" t="s">
        <v>190</v>
      </c>
      <c r="L259" s="33"/>
      <c r="M259" s="145" t="s">
        <v>1</v>
      </c>
      <c r="N259" s="146" t="s">
        <v>47</v>
      </c>
      <c r="O259" s="147">
        <v>9.9000000000000005E-2</v>
      </c>
      <c r="P259" s="147">
        <f>O259*H259</f>
        <v>18.295200000000001</v>
      </c>
      <c r="Q259" s="147">
        <v>0</v>
      </c>
      <c r="R259" s="147">
        <f>Q259*H259</f>
        <v>0</v>
      </c>
      <c r="S259" s="147">
        <v>0</v>
      </c>
      <c r="T259" s="148">
        <f>S259*H259</f>
        <v>0</v>
      </c>
      <c r="AR259" s="149" t="s">
        <v>191</v>
      </c>
      <c r="AT259" s="149" t="s">
        <v>186</v>
      </c>
      <c r="AU259" s="149" t="s">
        <v>20</v>
      </c>
      <c r="AY259" s="18" t="s">
        <v>184</v>
      </c>
      <c r="BE259" s="150">
        <f>IF(N259="základní",J259,0)</f>
        <v>22577.02</v>
      </c>
      <c r="BF259" s="150">
        <f>IF(N259="snížená",J259,0)</f>
        <v>0</v>
      </c>
      <c r="BG259" s="150">
        <f>IF(N259="zákl. přenesená",J259,0)</f>
        <v>0</v>
      </c>
      <c r="BH259" s="150">
        <f>IF(N259="sníž. přenesená",J259,0)</f>
        <v>0</v>
      </c>
      <c r="BI259" s="150">
        <f>IF(N259="nulová",J259,0)</f>
        <v>0</v>
      </c>
      <c r="BJ259" s="18" t="s">
        <v>88</v>
      </c>
      <c r="BK259" s="150">
        <f>ROUND(I259*H259,2)</f>
        <v>22577.02</v>
      </c>
      <c r="BL259" s="18" t="s">
        <v>191</v>
      </c>
      <c r="BM259" s="149" t="s">
        <v>944</v>
      </c>
    </row>
    <row r="260" spans="2:65" s="1" customFormat="1" x14ac:dyDescent="0.3">
      <c r="B260" s="33"/>
      <c r="D260" s="151" t="s">
        <v>193</v>
      </c>
      <c r="F260" s="152" t="s">
        <v>945</v>
      </c>
      <c r="I260" s="153"/>
      <c r="L260" s="33"/>
      <c r="M260" s="154"/>
      <c r="T260" s="57"/>
      <c r="AT260" s="18" t="s">
        <v>193</v>
      </c>
      <c r="AU260" s="18" t="s">
        <v>20</v>
      </c>
    </row>
    <row r="261" spans="2:65" s="1" customFormat="1" ht="19.5" x14ac:dyDescent="0.3">
      <c r="B261" s="33"/>
      <c r="D261" s="156" t="s">
        <v>236</v>
      </c>
      <c r="F261" s="170" t="s">
        <v>935</v>
      </c>
      <c r="I261" s="153"/>
      <c r="L261" s="33"/>
      <c r="M261" s="154"/>
      <c r="T261" s="57"/>
      <c r="AT261" s="18" t="s">
        <v>236</v>
      </c>
      <c r="AU261" s="18" t="s">
        <v>20</v>
      </c>
    </row>
    <row r="262" spans="2:65" s="1" customFormat="1" ht="16.5" customHeight="1" x14ac:dyDescent="0.3">
      <c r="B262" s="33"/>
      <c r="C262" s="138" t="s">
        <v>946</v>
      </c>
      <c r="D262" s="138" t="s">
        <v>186</v>
      </c>
      <c r="E262" s="139" t="s">
        <v>947</v>
      </c>
      <c r="F262" s="140" t="s">
        <v>948</v>
      </c>
      <c r="G262" s="141" t="s">
        <v>557</v>
      </c>
      <c r="H262" s="142">
        <v>19</v>
      </c>
      <c r="I262" s="143">
        <v>4581.5</v>
      </c>
      <c r="J262" s="144">
        <f>ROUND(I262*H262,2)</f>
        <v>87048.5</v>
      </c>
      <c r="K262" s="140" t="s">
        <v>190</v>
      </c>
      <c r="L262" s="33"/>
      <c r="M262" s="145" t="s">
        <v>1</v>
      </c>
      <c r="N262" s="146" t="s">
        <v>47</v>
      </c>
      <c r="O262" s="147">
        <v>3.024</v>
      </c>
      <c r="P262" s="147">
        <f>O262*H262</f>
        <v>57.456000000000003</v>
      </c>
      <c r="Q262" s="147">
        <v>3.5729999999999998E-2</v>
      </c>
      <c r="R262" s="147">
        <f>Q262*H262</f>
        <v>0.67886999999999997</v>
      </c>
      <c r="S262" s="147">
        <v>0</v>
      </c>
      <c r="T262" s="148">
        <f>S262*H262</f>
        <v>0</v>
      </c>
      <c r="AR262" s="149" t="s">
        <v>191</v>
      </c>
      <c r="AT262" s="149" t="s">
        <v>186</v>
      </c>
      <c r="AU262" s="149" t="s">
        <v>20</v>
      </c>
      <c r="AY262" s="18" t="s">
        <v>184</v>
      </c>
      <c r="BE262" s="150">
        <f>IF(N262="základní",J262,0)</f>
        <v>87048.5</v>
      </c>
      <c r="BF262" s="150">
        <f>IF(N262="snížená",J262,0)</f>
        <v>0</v>
      </c>
      <c r="BG262" s="150">
        <f>IF(N262="zákl. přenesená",J262,0)</f>
        <v>0</v>
      </c>
      <c r="BH262" s="150">
        <f>IF(N262="sníž. přenesená",J262,0)</f>
        <v>0</v>
      </c>
      <c r="BI262" s="150">
        <f>IF(N262="nulová",J262,0)</f>
        <v>0</v>
      </c>
      <c r="BJ262" s="18" t="s">
        <v>88</v>
      </c>
      <c r="BK262" s="150">
        <f>ROUND(I262*H262,2)</f>
        <v>87048.5</v>
      </c>
      <c r="BL262" s="18" t="s">
        <v>191</v>
      </c>
      <c r="BM262" s="149" t="s">
        <v>949</v>
      </c>
    </row>
    <row r="263" spans="2:65" s="1" customFormat="1" x14ac:dyDescent="0.3">
      <c r="B263" s="33"/>
      <c r="D263" s="151" t="s">
        <v>193</v>
      </c>
      <c r="F263" s="152" t="s">
        <v>950</v>
      </c>
      <c r="I263" s="153"/>
      <c r="L263" s="33"/>
      <c r="M263" s="154"/>
      <c r="T263" s="57"/>
      <c r="AT263" s="18" t="s">
        <v>193</v>
      </c>
      <c r="AU263" s="18" t="s">
        <v>20</v>
      </c>
    </row>
    <row r="264" spans="2:65" s="1" customFormat="1" ht="16.5" customHeight="1" x14ac:dyDescent="0.3">
      <c r="B264" s="33"/>
      <c r="C264" s="138" t="s">
        <v>951</v>
      </c>
      <c r="D264" s="138" t="s">
        <v>186</v>
      </c>
      <c r="E264" s="139" t="s">
        <v>952</v>
      </c>
      <c r="F264" s="140" t="s">
        <v>953</v>
      </c>
      <c r="G264" s="141" t="s">
        <v>557</v>
      </c>
      <c r="H264" s="142">
        <v>4</v>
      </c>
      <c r="I264" s="143">
        <v>6108.7</v>
      </c>
      <c r="J264" s="144">
        <f>ROUND(I264*H264,2)</f>
        <v>24434.799999999999</v>
      </c>
      <c r="K264" s="140" t="s">
        <v>190</v>
      </c>
      <c r="L264" s="33"/>
      <c r="M264" s="145" t="s">
        <v>1</v>
      </c>
      <c r="N264" s="146" t="s">
        <v>47</v>
      </c>
      <c r="O264" s="147">
        <v>5.0730000000000004</v>
      </c>
      <c r="P264" s="147">
        <f>O264*H264</f>
        <v>20.292000000000002</v>
      </c>
      <c r="Q264" s="147">
        <v>0.41488999999999998</v>
      </c>
      <c r="R264" s="147">
        <f>Q264*H264</f>
        <v>1.6595599999999999</v>
      </c>
      <c r="S264" s="147">
        <v>0</v>
      </c>
      <c r="T264" s="148">
        <f>S264*H264</f>
        <v>0</v>
      </c>
      <c r="AR264" s="149" t="s">
        <v>191</v>
      </c>
      <c r="AT264" s="149" t="s">
        <v>186</v>
      </c>
      <c r="AU264" s="149" t="s">
        <v>20</v>
      </c>
      <c r="AY264" s="18" t="s">
        <v>184</v>
      </c>
      <c r="BE264" s="150">
        <f>IF(N264="základní",J264,0)</f>
        <v>24434.799999999999</v>
      </c>
      <c r="BF264" s="150">
        <f>IF(N264="snížená",J264,0)</f>
        <v>0</v>
      </c>
      <c r="BG264" s="150">
        <f>IF(N264="zákl. přenesená",J264,0)</f>
        <v>0</v>
      </c>
      <c r="BH264" s="150">
        <f>IF(N264="sníž. přenesená",J264,0)</f>
        <v>0</v>
      </c>
      <c r="BI264" s="150">
        <f>IF(N264="nulová",J264,0)</f>
        <v>0</v>
      </c>
      <c r="BJ264" s="18" t="s">
        <v>88</v>
      </c>
      <c r="BK264" s="150">
        <f>ROUND(I264*H264,2)</f>
        <v>24434.799999999999</v>
      </c>
      <c r="BL264" s="18" t="s">
        <v>191</v>
      </c>
      <c r="BM264" s="149" t="s">
        <v>954</v>
      </c>
    </row>
    <row r="265" spans="2:65" s="1" customFormat="1" x14ac:dyDescent="0.3">
      <c r="B265" s="33"/>
      <c r="D265" s="151" t="s">
        <v>193</v>
      </c>
      <c r="F265" s="152" t="s">
        <v>955</v>
      </c>
      <c r="I265" s="153"/>
      <c r="L265" s="33"/>
      <c r="M265" s="154"/>
      <c r="T265" s="57"/>
      <c r="AT265" s="18" t="s">
        <v>193</v>
      </c>
      <c r="AU265" s="18" t="s">
        <v>20</v>
      </c>
    </row>
    <row r="266" spans="2:65" s="1" customFormat="1" ht="16.5" customHeight="1" x14ac:dyDescent="0.3">
      <c r="B266" s="33"/>
      <c r="C266" s="172" t="s">
        <v>956</v>
      </c>
      <c r="D266" s="172" t="s">
        <v>271</v>
      </c>
      <c r="E266" s="173" t="s">
        <v>957</v>
      </c>
      <c r="F266" s="174" t="s">
        <v>958</v>
      </c>
      <c r="G266" s="175" t="s">
        <v>557</v>
      </c>
      <c r="H266" s="176">
        <v>4</v>
      </c>
      <c r="I266" s="177">
        <v>14669</v>
      </c>
      <c r="J266" s="178">
        <f>ROUND(I266*H266,2)</f>
        <v>58676</v>
      </c>
      <c r="K266" s="174" t="s">
        <v>190</v>
      </c>
      <c r="L266" s="179"/>
      <c r="M266" s="180" t="s">
        <v>1</v>
      </c>
      <c r="N266" s="181" t="s">
        <v>47</v>
      </c>
      <c r="O266" s="147">
        <v>0</v>
      </c>
      <c r="P266" s="147">
        <f>O266*H266</f>
        <v>0</v>
      </c>
      <c r="Q266" s="147">
        <v>2.1</v>
      </c>
      <c r="R266" s="147">
        <f>Q266*H266</f>
        <v>8.4</v>
      </c>
      <c r="S266" s="147">
        <v>0</v>
      </c>
      <c r="T266" s="148">
        <f>S266*H266</f>
        <v>0</v>
      </c>
      <c r="AR266" s="149" t="s">
        <v>239</v>
      </c>
      <c r="AT266" s="149" t="s">
        <v>271</v>
      </c>
      <c r="AU266" s="149" t="s">
        <v>20</v>
      </c>
      <c r="AY266" s="18" t="s">
        <v>184</v>
      </c>
      <c r="BE266" s="150">
        <f>IF(N266="základní",J266,0)</f>
        <v>58676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8" t="s">
        <v>88</v>
      </c>
      <c r="BK266" s="150">
        <f>ROUND(I266*H266,2)</f>
        <v>58676</v>
      </c>
      <c r="BL266" s="18" t="s">
        <v>191</v>
      </c>
      <c r="BM266" s="149" t="s">
        <v>959</v>
      </c>
    </row>
    <row r="267" spans="2:65" s="1" customFormat="1" ht="16.5" customHeight="1" x14ac:dyDescent="0.3">
      <c r="B267" s="33"/>
      <c r="C267" s="138" t="s">
        <v>960</v>
      </c>
      <c r="D267" s="138" t="s">
        <v>186</v>
      </c>
      <c r="E267" s="139" t="s">
        <v>961</v>
      </c>
      <c r="F267" s="140" t="s">
        <v>962</v>
      </c>
      <c r="G267" s="141" t="s">
        <v>557</v>
      </c>
      <c r="H267" s="142">
        <v>6</v>
      </c>
      <c r="I267" s="143">
        <v>1908.97</v>
      </c>
      <c r="J267" s="144">
        <f>ROUND(I267*H267,2)</f>
        <v>11453.82</v>
      </c>
      <c r="K267" s="140" t="s">
        <v>190</v>
      </c>
      <c r="L267" s="33"/>
      <c r="M267" s="145" t="s">
        <v>1</v>
      </c>
      <c r="N267" s="146" t="s">
        <v>47</v>
      </c>
      <c r="O267" s="147">
        <v>1.5109999999999999</v>
      </c>
      <c r="P267" s="147">
        <f>O267*H267</f>
        <v>9.0659999999999989</v>
      </c>
      <c r="Q267" s="147">
        <v>9.8899999999999995E-3</v>
      </c>
      <c r="R267" s="147">
        <f>Q267*H267</f>
        <v>5.9339999999999997E-2</v>
      </c>
      <c r="S267" s="147">
        <v>0</v>
      </c>
      <c r="T267" s="148">
        <f>S267*H267</f>
        <v>0</v>
      </c>
      <c r="AR267" s="149" t="s">
        <v>191</v>
      </c>
      <c r="AT267" s="149" t="s">
        <v>186</v>
      </c>
      <c r="AU267" s="149" t="s">
        <v>20</v>
      </c>
      <c r="AY267" s="18" t="s">
        <v>184</v>
      </c>
      <c r="BE267" s="150">
        <f>IF(N267="základní",J267,0)</f>
        <v>11453.82</v>
      </c>
      <c r="BF267" s="150">
        <f>IF(N267="snížená",J267,0)</f>
        <v>0</v>
      </c>
      <c r="BG267" s="150">
        <f>IF(N267="zákl. přenesená",J267,0)</f>
        <v>0</v>
      </c>
      <c r="BH267" s="150">
        <f>IF(N267="sníž. přenesená",J267,0)</f>
        <v>0</v>
      </c>
      <c r="BI267" s="150">
        <f>IF(N267="nulová",J267,0)</f>
        <v>0</v>
      </c>
      <c r="BJ267" s="18" t="s">
        <v>88</v>
      </c>
      <c r="BK267" s="150">
        <f>ROUND(I267*H267,2)</f>
        <v>11453.82</v>
      </c>
      <c r="BL267" s="18" t="s">
        <v>191</v>
      </c>
      <c r="BM267" s="149" t="s">
        <v>963</v>
      </c>
    </row>
    <row r="268" spans="2:65" s="1" customFormat="1" x14ac:dyDescent="0.3">
      <c r="B268" s="33"/>
      <c r="D268" s="151" t="s">
        <v>193</v>
      </c>
      <c r="F268" s="152" t="s">
        <v>964</v>
      </c>
      <c r="I268" s="153"/>
      <c r="L268" s="33"/>
      <c r="M268" s="154"/>
      <c r="T268" s="57"/>
      <c r="AT268" s="18" t="s">
        <v>193</v>
      </c>
      <c r="AU268" s="18" t="s">
        <v>20</v>
      </c>
    </row>
    <row r="269" spans="2:65" s="1" customFormat="1" ht="16.5" customHeight="1" x14ac:dyDescent="0.3">
      <c r="B269" s="33"/>
      <c r="C269" s="172" t="s">
        <v>965</v>
      </c>
      <c r="D269" s="172" t="s">
        <v>271</v>
      </c>
      <c r="E269" s="173" t="s">
        <v>966</v>
      </c>
      <c r="F269" s="174" t="s">
        <v>967</v>
      </c>
      <c r="G269" s="175" t="s">
        <v>557</v>
      </c>
      <c r="H269" s="176">
        <v>3</v>
      </c>
      <c r="I269" s="177">
        <v>1891.62</v>
      </c>
      <c r="J269" s="178">
        <f>ROUND(I269*H269,2)</f>
        <v>5674.86</v>
      </c>
      <c r="K269" s="174" t="s">
        <v>1</v>
      </c>
      <c r="L269" s="179"/>
      <c r="M269" s="180" t="s">
        <v>1</v>
      </c>
      <c r="N269" s="181" t="s">
        <v>47</v>
      </c>
      <c r="O269" s="147">
        <v>0</v>
      </c>
      <c r="P269" s="147">
        <f>O269*H269</f>
        <v>0</v>
      </c>
      <c r="Q269" s="147">
        <v>0.26200000000000001</v>
      </c>
      <c r="R269" s="147">
        <f>Q269*H269</f>
        <v>0.78600000000000003</v>
      </c>
      <c r="S269" s="147">
        <v>0</v>
      </c>
      <c r="T269" s="148">
        <f>S269*H269</f>
        <v>0</v>
      </c>
      <c r="AR269" s="149" t="s">
        <v>239</v>
      </c>
      <c r="AT269" s="149" t="s">
        <v>271</v>
      </c>
      <c r="AU269" s="149" t="s">
        <v>20</v>
      </c>
      <c r="AY269" s="18" t="s">
        <v>184</v>
      </c>
      <c r="BE269" s="150">
        <f>IF(N269="základní",J269,0)</f>
        <v>5674.86</v>
      </c>
      <c r="BF269" s="150">
        <f>IF(N269="snížená",J269,0)</f>
        <v>0</v>
      </c>
      <c r="BG269" s="150">
        <f>IF(N269="zákl. přenesená",J269,0)</f>
        <v>0</v>
      </c>
      <c r="BH269" s="150">
        <f>IF(N269="sníž. přenesená",J269,0)</f>
        <v>0</v>
      </c>
      <c r="BI269" s="150">
        <f>IF(N269="nulová",J269,0)</f>
        <v>0</v>
      </c>
      <c r="BJ269" s="18" t="s">
        <v>88</v>
      </c>
      <c r="BK269" s="150">
        <f>ROUND(I269*H269,2)</f>
        <v>5674.86</v>
      </c>
      <c r="BL269" s="18" t="s">
        <v>191</v>
      </c>
      <c r="BM269" s="149" t="s">
        <v>968</v>
      </c>
    </row>
    <row r="270" spans="2:65" s="1" customFormat="1" ht="16.5" customHeight="1" x14ac:dyDescent="0.3">
      <c r="B270" s="33"/>
      <c r="C270" s="172" t="s">
        <v>969</v>
      </c>
      <c r="D270" s="172" t="s">
        <v>271</v>
      </c>
      <c r="E270" s="173" t="s">
        <v>970</v>
      </c>
      <c r="F270" s="174" t="s">
        <v>971</v>
      </c>
      <c r="G270" s="175" t="s">
        <v>557</v>
      </c>
      <c r="H270" s="176">
        <v>3</v>
      </c>
      <c r="I270" s="177">
        <v>496.51</v>
      </c>
      <c r="J270" s="178">
        <f>ROUND(I270*H270,2)</f>
        <v>1489.53</v>
      </c>
      <c r="K270" s="174" t="s">
        <v>190</v>
      </c>
      <c r="L270" s="179"/>
      <c r="M270" s="180" t="s">
        <v>1</v>
      </c>
      <c r="N270" s="181" t="s">
        <v>47</v>
      </c>
      <c r="O270" s="147">
        <v>0</v>
      </c>
      <c r="P270" s="147">
        <f>O270*H270</f>
        <v>0</v>
      </c>
      <c r="Q270" s="147">
        <v>5.2999999999999999E-2</v>
      </c>
      <c r="R270" s="147">
        <f>Q270*H270</f>
        <v>0.159</v>
      </c>
      <c r="S270" s="147">
        <v>0</v>
      </c>
      <c r="T270" s="148">
        <f>S270*H270</f>
        <v>0</v>
      </c>
      <c r="AR270" s="149" t="s">
        <v>239</v>
      </c>
      <c r="AT270" s="149" t="s">
        <v>271</v>
      </c>
      <c r="AU270" s="149" t="s">
        <v>20</v>
      </c>
      <c r="AY270" s="18" t="s">
        <v>184</v>
      </c>
      <c r="BE270" s="150">
        <f>IF(N270="základní",J270,0)</f>
        <v>1489.53</v>
      </c>
      <c r="BF270" s="150">
        <f>IF(N270="snížená",J270,0)</f>
        <v>0</v>
      </c>
      <c r="BG270" s="150">
        <f>IF(N270="zákl. přenesená",J270,0)</f>
        <v>0</v>
      </c>
      <c r="BH270" s="150">
        <f>IF(N270="sníž. přenesená",J270,0)</f>
        <v>0</v>
      </c>
      <c r="BI270" s="150">
        <f>IF(N270="nulová",J270,0)</f>
        <v>0</v>
      </c>
      <c r="BJ270" s="18" t="s">
        <v>88</v>
      </c>
      <c r="BK270" s="150">
        <f>ROUND(I270*H270,2)</f>
        <v>1489.53</v>
      </c>
      <c r="BL270" s="18" t="s">
        <v>191</v>
      </c>
      <c r="BM270" s="149" t="s">
        <v>972</v>
      </c>
    </row>
    <row r="271" spans="2:65" s="1" customFormat="1" ht="16.5" customHeight="1" x14ac:dyDescent="0.3">
      <c r="B271" s="33"/>
      <c r="C271" s="138" t="s">
        <v>973</v>
      </c>
      <c r="D271" s="138" t="s">
        <v>186</v>
      </c>
      <c r="E271" s="139" t="s">
        <v>974</v>
      </c>
      <c r="F271" s="140" t="s">
        <v>975</v>
      </c>
      <c r="G271" s="141" t="s">
        <v>557</v>
      </c>
      <c r="H271" s="142">
        <v>7</v>
      </c>
      <c r="I271" s="143">
        <v>2672.56</v>
      </c>
      <c r="J271" s="144">
        <f>ROUND(I271*H271,2)</f>
        <v>18707.919999999998</v>
      </c>
      <c r="K271" s="140" t="s">
        <v>190</v>
      </c>
      <c r="L271" s="33"/>
      <c r="M271" s="145" t="s">
        <v>1</v>
      </c>
      <c r="N271" s="146" t="s">
        <v>47</v>
      </c>
      <c r="O271" s="147">
        <v>2.2029999999999998</v>
      </c>
      <c r="P271" s="147">
        <f>O271*H271</f>
        <v>15.420999999999999</v>
      </c>
      <c r="Q271" s="147">
        <v>9.8899999999999995E-3</v>
      </c>
      <c r="R271" s="147">
        <f>Q271*H271</f>
        <v>6.923E-2</v>
      </c>
      <c r="S271" s="147">
        <v>0</v>
      </c>
      <c r="T271" s="148">
        <f>S271*H271</f>
        <v>0</v>
      </c>
      <c r="AR271" s="149" t="s">
        <v>191</v>
      </c>
      <c r="AT271" s="149" t="s">
        <v>186</v>
      </c>
      <c r="AU271" s="149" t="s">
        <v>20</v>
      </c>
      <c r="AY271" s="18" t="s">
        <v>184</v>
      </c>
      <c r="BE271" s="150">
        <f>IF(N271="základní",J271,0)</f>
        <v>18707.919999999998</v>
      </c>
      <c r="BF271" s="150">
        <f>IF(N271="snížená",J271,0)</f>
        <v>0</v>
      </c>
      <c r="BG271" s="150">
        <f>IF(N271="zákl. přenesená",J271,0)</f>
        <v>0</v>
      </c>
      <c r="BH271" s="150">
        <f>IF(N271="sníž. přenesená",J271,0)</f>
        <v>0</v>
      </c>
      <c r="BI271" s="150">
        <f>IF(N271="nulová",J271,0)</f>
        <v>0</v>
      </c>
      <c r="BJ271" s="18" t="s">
        <v>88</v>
      </c>
      <c r="BK271" s="150">
        <f>ROUND(I271*H271,2)</f>
        <v>18707.919999999998</v>
      </c>
      <c r="BL271" s="18" t="s">
        <v>191</v>
      </c>
      <c r="BM271" s="149" t="s">
        <v>976</v>
      </c>
    </row>
    <row r="272" spans="2:65" s="1" customFormat="1" x14ac:dyDescent="0.3">
      <c r="B272" s="33"/>
      <c r="D272" s="151" t="s">
        <v>193</v>
      </c>
      <c r="F272" s="152" t="s">
        <v>977</v>
      </c>
      <c r="I272" s="153"/>
      <c r="L272" s="33"/>
      <c r="M272" s="154"/>
      <c r="T272" s="57"/>
      <c r="AT272" s="18" t="s">
        <v>193</v>
      </c>
      <c r="AU272" s="18" t="s">
        <v>20</v>
      </c>
    </row>
    <row r="273" spans="2:65" s="1" customFormat="1" ht="16.5" customHeight="1" x14ac:dyDescent="0.3">
      <c r="B273" s="33"/>
      <c r="C273" s="172" t="s">
        <v>978</v>
      </c>
      <c r="D273" s="172" t="s">
        <v>271</v>
      </c>
      <c r="E273" s="173" t="s">
        <v>979</v>
      </c>
      <c r="F273" s="174" t="s">
        <v>980</v>
      </c>
      <c r="G273" s="175" t="s">
        <v>557</v>
      </c>
      <c r="H273" s="176">
        <v>4</v>
      </c>
      <c r="I273" s="177">
        <v>2487.4299999999998</v>
      </c>
      <c r="J273" s="178">
        <f>ROUND(I273*H273,2)</f>
        <v>9949.7199999999993</v>
      </c>
      <c r="K273" s="174" t="s">
        <v>190</v>
      </c>
      <c r="L273" s="179"/>
      <c r="M273" s="180" t="s">
        <v>1</v>
      </c>
      <c r="N273" s="181" t="s">
        <v>47</v>
      </c>
      <c r="O273" s="147">
        <v>0</v>
      </c>
      <c r="P273" s="147">
        <f>O273*H273</f>
        <v>0</v>
      </c>
      <c r="Q273" s="147">
        <v>0.52600000000000002</v>
      </c>
      <c r="R273" s="147">
        <f>Q273*H273</f>
        <v>2.1040000000000001</v>
      </c>
      <c r="S273" s="147">
        <v>0</v>
      </c>
      <c r="T273" s="148">
        <f>S273*H273</f>
        <v>0</v>
      </c>
      <c r="AR273" s="149" t="s">
        <v>239</v>
      </c>
      <c r="AT273" s="149" t="s">
        <v>271</v>
      </c>
      <c r="AU273" s="149" t="s">
        <v>20</v>
      </c>
      <c r="AY273" s="18" t="s">
        <v>184</v>
      </c>
      <c r="BE273" s="150">
        <f>IF(N273="základní",J273,0)</f>
        <v>9949.7199999999993</v>
      </c>
      <c r="BF273" s="150">
        <f>IF(N273="snížená",J273,0)</f>
        <v>0</v>
      </c>
      <c r="BG273" s="150">
        <f>IF(N273="zákl. přenesená",J273,0)</f>
        <v>0</v>
      </c>
      <c r="BH273" s="150">
        <f>IF(N273="sníž. přenesená",J273,0)</f>
        <v>0</v>
      </c>
      <c r="BI273" s="150">
        <f>IF(N273="nulová",J273,0)</f>
        <v>0</v>
      </c>
      <c r="BJ273" s="18" t="s">
        <v>88</v>
      </c>
      <c r="BK273" s="150">
        <f>ROUND(I273*H273,2)</f>
        <v>9949.7199999999993</v>
      </c>
      <c r="BL273" s="18" t="s">
        <v>191</v>
      </c>
      <c r="BM273" s="149" t="s">
        <v>981</v>
      </c>
    </row>
    <row r="274" spans="2:65" s="1" customFormat="1" ht="16.5" customHeight="1" x14ac:dyDescent="0.3">
      <c r="B274" s="33"/>
      <c r="C274" s="172" t="s">
        <v>982</v>
      </c>
      <c r="D274" s="172" t="s">
        <v>271</v>
      </c>
      <c r="E274" s="173" t="s">
        <v>983</v>
      </c>
      <c r="F274" s="174" t="s">
        <v>984</v>
      </c>
      <c r="G274" s="175" t="s">
        <v>557</v>
      </c>
      <c r="H274" s="176">
        <v>1</v>
      </c>
      <c r="I274" s="177">
        <v>354.88</v>
      </c>
      <c r="J274" s="178">
        <f>ROUND(I274*H274,2)</f>
        <v>354.88</v>
      </c>
      <c r="K274" s="174" t="s">
        <v>190</v>
      </c>
      <c r="L274" s="179"/>
      <c r="M274" s="180" t="s">
        <v>1</v>
      </c>
      <c r="N274" s="181" t="s">
        <v>47</v>
      </c>
      <c r="O274" s="147">
        <v>0</v>
      </c>
      <c r="P274" s="147">
        <f>O274*H274</f>
        <v>0</v>
      </c>
      <c r="Q274" s="147">
        <v>2.1000000000000001E-2</v>
      </c>
      <c r="R274" s="147">
        <f>Q274*H274</f>
        <v>2.1000000000000001E-2</v>
      </c>
      <c r="S274" s="147">
        <v>0</v>
      </c>
      <c r="T274" s="148">
        <f>S274*H274</f>
        <v>0</v>
      </c>
      <c r="AR274" s="149" t="s">
        <v>239</v>
      </c>
      <c r="AT274" s="149" t="s">
        <v>271</v>
      </c>
      <c r="AU274" s="149" t="s">
        <v>20</v>
      </c>
      <c r="AY274" s="18" t="s">
        <v>184</v>
      </c>
      <c r="BE274" s="150">
        <f>IF(N274="základní",J274,0)</f>
        <v>354.88</v>
      </c>
      <c r="BF274" s="150">
        <f>IF(N274="snížená",J274,0)</f>
        <v>0</v>
      </c>
      <c r="BG274" s="150">
        <f>IF(N274="zákl. přenesená",J274,0)</f>
        <v>0</v>
      </c>
      <c r="BH274" s="150">
        <f>IF(N274="sníž. přenesená",J274,0)</f>
        <v>0</v>
      </c>
      <c r="BI274" s="150">
        <f>IF(N274="nulová",J274,0)</f>
        <v>0</v>
      </c>
      <c r="BJ274" s="18" t="s">
        <v>88</v>
      </c>
      <c r="BK274" s="150">
        <f>ROUND(I274*H274,2)</f>
        <v>354.88</v>
      </c>
      <c r="BL274" s="18" t="s">
        <v>191</v>
      </c>
      <c r="BM274" s="149" t="s">
        <v>985</v>
      </c>
    </row>
    <row r="275" spans="2:65" s="1" customFormat="1" ht="16.5" customHeight="1" x14ac:dyDescent="0.3">
      <c r="B275" s="33"/>
      <c r="C275" s="172" t="s">
        <v>986</v>
      </c>
      <c r="D275" s="172" t="s">
        <v>271</v>
      </c>
      <c r="E275" s="173" t="s">
        <v>987</v>
      </c>
      <c r="F275" s="174" t="s">
        <v>988</v>
      </c>
      <c r="G275" s="175" t="s">
        <v>557</v>
      </c>
      <c r="H275" s="176">
        <v>2</v>
      </c>
      <c r="I275" s="177">
        <v>696.74</v>
      </c>
      <c r="J275" s="178">
        <f>ROUND(I275*H275,2)</f>
        <v>1393.48</v>
      </c>
      <c r="K275" s="174" t="s">
        <v>190</v>
      </c>
      <c r="L275" s="179"/>
      <c r="M275" s="180" t="s">
        <v>1</v>
      </c>
      <c r="N275" s="181" t="s">
        <v>47</v>
      </c>
      <c r="O275" s="147">
        <v>0</v>
      </c>
      <c r="P275" s="147">
        <f>O275*H275</f>
        <v>0</v>
      </c>
      <c r="Q275" s="147">
        <v>8.1000000000000003E-2</v>
      </c>
      <c r="R275" s="147">
        <f>Q275*H275</f>
        <v>0.16200000000000001</v>
      </c>
      <c r="S275" s="147">
        <v>0</v>
      </c>
      <c r="T275" s="148">
        <f>S275*H275</f>
        <v>0</v>
      </c>
      <c r="AR275" s="149" t="s">
        <v>239</v>
      </c>
      <c r="AT275" s="149" t="s">
        <v>271</v>
      </c>
      <c r="AU275" s="149" t="s">
        <v>20</v>
      </c>
      <c r="AY275" s="18" t="s">
        <v>184</v>
      </c>
      <c r="BE275" s="150">
        <f>IF(N275="základní",J275,0)</f>
        <v>1393.48</v>
      </c>
      <c r="BF275" s="150">
        <f>IF(N275="snížená",J275,0)</f>
        <v>0</v>
      </c>
      <c r="BG275" s="150">
        <f>IF(N275="zákl. přenesená",J275,0)</f>
        <v>0</v>
      </c>
      <c r="BH275" s="150">
        <f>IF(N275="sníž. přenesená",J275,0)</f>
        <v>0</v>
      </c>
      <c r="BI275" s="150">
        <f>IF(N275="nulová",J275,0)</f>
        <v>0</v>
      </c>
      <c r="BJ275" s="18" t="s">
        <v>88</v>
      </c>
      <c r="BK275" s="150">
        <f>ROUND(I275*H275,2)</f>
        <v>1393.48</v>
      </c>
      <c r="BL275" s="18" t="s">
        <v>191</v>
      </c>
      <c r="BM275" s="149" t="s">
        <v>989</v>
      </c>
    </row>
    <row r="276" spans="2:65" s="1" customFormat="1" ht="16.5" customHeight="1" x14ac:dyDescent="0.3">
      <c r="B276" s="33"/>
      <c r="C276" s="138" t="s">
        <v>990</v>
      </c>
      <c r="D276" s="138" t="s">
        <v>186</v>
      </c>
      <c r="E276" s="139" t="s">
        <v>991</v>
      </c>
      <c r="F276" s="140" t="s">
        <v>992</v>
      </c>
      <c r="G276" s="141" t="s">
        <v>557</v>
      </c>
      <c r="H276" s="142">
        <v>4</v>
      </c>
      <c r="I276" s="143">
        <v>3054.35</v>
      </c>
      <c r="J276" s="144">
        <f>ROUND(I276*H276,2)</f>
        <v>12217.4</v>
      </c>
      <c r="K276" s="140" t="s">
        <v>190</v>
      </c>
      <c r="L276" s="33"/>
      <c r="M276" s="145" t="s">
        <v>1</v>
      </c>
      <c r="N276" s="146" t="s">
        <v>47</v>
      </c>
      <c r="O276" s="147">
        <v>2.2029999999999998</v>
      </c>
      <c r="P276" s="147">
        <f>O276*H276</f>
        <v>8.8119999999999994</v>
      </c>
      <c r="Q276" s="147">
        <v>1.218E-2</v>
      </c>
      <c r="R276" s="147">
        <f>Q276*H276</f>
        <v>4.8719999999999999E-2</v>
      </c>
      <c r="S276" s="147">
        <v>0</v>
      </c>
      <c r="T276" s="148">
        <f>S276*H276</f>
        <v>0</v>
      </c>
      <c r="AR276" s="149" t="s">
        <v>191</v>
      </c>
      <c r="AT276" s="149" t="s">
        <v>186</v>
      </c>
      <c r="AU276" s="149" t="s">
        <v>20</v>
      </c>
      <c r="AY276" s="18" t="s">
        <v>184</v>
      </c>
      <c r="BE276" s="150">
        <f>IF(N276="základní",J276,0)</f>
        <v>12217.4</v>
      </c>
      <c r="BF276" s="150">
        <f>IF(N276="snížená",J276,0)</f>
        <v>0</v>
      </c>
      <c r="BG276" s="150">
        <f>IF(N276="zákl. přenesená",J276,0)</f>
        <v>0</v>
      </c>
      <c r="BH276" s="150">
        <f>IF(N276="sníž. přenesená",J276,0)</f>
        <v>0</v>
      </c>
      <c r="BI276" s="150">
        <f>IF(N276="nulová",J276,0)</f>
        <v>0</v>
      </c>
      <c r="BJ276" s="18" t="s">
        <v>88</v>
      </c>
      <c r="BK276" s="150">
        <f>ROUND(I276*H276,2)</f>
        <v>12217.4</v>
      </c>
      <c r="BL276" s="18" t="s">
        <v>191</v>
      </c>
      <c r="BM276" s="149" t="s">
        <v>993</v>
      </c>
    </row>
    <row r="277" spans="2:65" s="1" customFormat="1" x14ac:dyDescent="0.3">
      <c r="B277" s="33"/>
      <c r="D277" s="151" t="s">
        <v>193</v>
      </c>
      <c r="F277" s="152" t="s">
        <v>994</v>
      </c>
      <c r="I277" s="153"/>
      <c r="L277" s="33"/>
      <c r="M277" s="154"/>
      <c r="T277" s="57"/>
      <c r="AT277" s="18" t="s">
        <v>193</v>
      </c>
      <c r="AU277" s="18" t="s">
        <v>20</v>
      </c>
    </row>
    <row r="278" spans="2:65" s="1" customFormat="1" ht="16.5" customHeight="1" x14ac:dyDescent="0.3">
      <c r="B278" s="33"/>
      <c r="C278" s="172" t="s">
        <v>995</v>
      </c>
      <c r="D278" s="172" t="s">
        <v>271</v>
      </c>
      <c r="E278" s="173" t="s">
        <v>996</v>
      </c>
      <c r="F278" s="174" t="s">
        <v>997</v>
      </c>
      <c r="G278" s="175" t="s">
        <v>557</v>
      </c>
      <c r="H278" s="176">
        <v>4</v>
      </c>
      <c r="I278" s="177">
        <v>3311.15</v>
      </c>
      <c r="J278" s="178">
        <f>ROUND(I278*H278,2)</f>
        <v>13244.6</v>
      </c>
      <c r="K278" s="174" t="s">
        <v>190</v>
      </c>
      <c r="L278" s="179"/>
      <c r="M278" s="180" t="s">
        <v>1</v>
      </c>
      <c r="N278" s="181" t="s">
        <v>47</v>
      </c>
      <c r="O278" s="147">
        <v>0</v>
      </c>
      <c r="P278" s="147">
        <f>O278*H278</f>
        <v>0</v>
      </c>
      <c r="Q278" s="147">
        <v>0.58499999999999996</v>
      </c>
      <c r="R278" s="147">
        <f>Q278*H278</f>
        <v>2.34</v>
      </c>
      <c r="S278" s="147">
        <v>0</v>
      </c>
      <c r="T278" s="148">
        <f>S278*H278</f>
        <v>0</v>
      </c>
      <c r="AR278" s="149" t="s">
        <v>239</v>
      </c>
      <c r="AT278" s="149" t="s">
        <v>271</v>
      </c>
      <c r="AU278" s="149" t="s">
        <v>20</v>
      </c>
      <c r="AY278" s="18" t="s">
        <v>184</v>
      </c>
      <c r="BE278" s="150">
        <f>IF(N278="základní",J278,0)</f>
        <v>13244.6</v>
      </c>
      <c r="BF278" s="150">
        <f>IF(N278="snížená",J278,0)</f>
        <v>0</v>
      </c>
      <c r="BG278" s="150">
        <f>IF(N278="zákl. přenesená",J278,0)</f>
        <v>0</v>
      </c>
      <c r="BH278" s="150">
        <f>IF(N278="sníž. přenesená",J278,0)</f>
        <v>0</v>
      </c>
      <c r="BI278" s="150">
        <f>IF(N278="nulová",J278,0)</f>
        <v>0</v>
      </c>
      <c r="BJ278" s="18" t="s">
        <v>88</v>
      </c>
      <c r="BK278" s="150">
        <f>ROUND(I278*H278,2)</f>
        <v>13244.6</v>
      </c>
      <c r="BL278" s="18" t="s">
        <v>191</v>
      </c>
      <c r="BM278" s="149" t="s">
        <v>998</v>
      </c>
    </row>
    <row r="279" spans="2:65" s="1" customFormat="1" ht="16.5" customHeight="1" x14ac:dyDescent="0.3">
      <c r="B279" s="33"/>
      <c r="C279" s="138" t="s">
        <v>999</v>
      </c>
      <c r="D279" s="138" t="s">
        <v>186</v>
      </c>
      <c r="E279" s="139" t="s">
        <v>1000</v>
      </c>
      <c r="F279" s="140" t="s">
        <v>1001</v>
      </c>
      <c r="G279" s="141" t="s">
        <v>557</v>
      </c>
      <c r="H279" s="142">
        <v>1</v>
      </c>
      <c r="I279" s="143">
        <v>3817.94</v>
      </c>
      <c r="J279" s="144">
        <f>ROUND(I279*H279,2)</f>
        <v>3817.94</v>
      </c>
      <c r="K279" s="140" t="s">
        <v>190</v>
      </c>
      <c r="L279" s="33"/>
      <c r="M279" s="145" t="s">
        <v>1</v>
      </c>
      <c r="N279" s="146" t="s">
        <v>47</v>
      </c>
      <c r="O279" s="147">
        <v>2.1190000000000002</v>
      </c>
      <c r="P279" s="147">
        <f>O279*H279</f>
        <v>2.1190000000000002</v>
      </c>
      <c r="Q279" s="147">
        <v>9.8899999999999995E-3</v>
      </c>
      <c r="R279" s="147">
        <f>Q279*H279</f>
        <v>9.8899999999999995E-3</v>
      </c>
      <c r="S279" s="147">
        <v>0</v>
      </c>
      <c r="T279" s="148">
        <f>S279*H279</f>
        <v>0</v>
      </c>
      <c r="AR279" s="149" t="s">
        <v>191</v>
      </c>
      <c r="AT279" s="149" t="s">
        <v>186</v>
      </c>
      <c r="AU279" s="149" t="s">
        <v>20</v>
      </c>
      <c r="AY279" s="18" t="s">
        <v>184</v>
      </c>
      <c r="BE279" s="150">
        <f>IF(N279="základní",J279,0)</f>
        <v>3817.94</v>
      </c>
      <c r="BF279" s="150">
        <f>IF(N279="snížená",J279,0)</f>
        <v>0</v>
      </c>
      <c r="BG279" s="150">
        <f>IF(N279="zákl. přenesená",J279,0)</f>
        <v>0</v>
      </c>
      <c r="BH279" s="150">
        <f>IF(N279="sníž. přenesená",J279,0)</f>
        <v>0</v>
      </c>
      <c r="BI279" s="150">
        <f>IF(N279="nulová",J279,0)</f>
        <v>0</v>
      </c>
      <c r="BJ279" s="18" t="s">
        <v>88</v>
      </c>
      <c r="BK279" s="150">
        <f>ROUND(I279*H279,2)</f>
        <v>3817.94</v>
      </c>
      <c r="BL279" s="18" t="s">
        <v>191</v>
      </c>
      <c r="BM279" s="149" t="s">
        <v>1002</v>
      </c>
    </row>
    <row r="280" spans="2:65" s="1" customFormat="1" x14ac:dyDescent="0.3">
      <c r="B280" s="33"/>
      <c r="D280" s="151" t="s">
        <v>193</v>
      </c>
      <c r="F280" s="152" t="s">
        <v>1003</v>
      </c>
      <c r="I280" s="153"/>
      <c r="L280" s="33"/>
      <c r="M280" s="154"/>
      <c r="T280" s="57"/>
      <c r="AT280" s="18" t="s">
        <v>193</v>
      </c>
      <c r="AU280" s="18" t="s">
        <v>20</v>
      </c>
    </row>
    <row r="281" spans="2:65" s="1" customFormat="1" ht="16.5" customHeight="1" x14ac:dyDescent="0.3">
      <c r="B281" s="33"/>
      <c r="C281" s="172" t="s">
        <v>1004</v>
      </c>
      <c r="D281" s="172" t="s">
        <v>271</v>
      </c>
      <c r="E281" s="173" t="s">
        <v>1005</v>
      </c>
      <c r="F281" s="174" t="s">
        <v>1006</v>
      </c>
      <c r="G281" s="175" t="s">
        <v>557</v>
      </c>
      <c r="H281" s="176">
        <v>1</v>
      </c>
      <c r="I281" s="177">
        <v>5339.51</v>
      </c>
      <c r="J281" s="178">
        <f>ROUND(I281*H281,2)</f>
        <v>5339.51</v>
      </c>
      <c r="K281" s="174" t="s">
        <v>190</v>
      </c>
      <c r="L281" s="179"/>
      <c r="M281" s="180" t="s">
        <v>1</v>
      </c>
      <c r="N281" s="181" t="s">
        <v>47</v>
      </c>
      <c r="O281" s="147">
        <v>0</v>
      </c>
      <c r="P281" s="147">
        <f>O281*H281</f>
        <v>0</v>
      </c>
      <c r="Q281" s="147">
        <v>0.44900000000000001</v>
      </c>
      <c r="R281" s="147">
        <f>Q281*H281</f>
        <v>0.44900000000000001</v>
      </c>
      <c r="S281" s="147">
        <v>0</v>
      </c>
      <c r="T281" s="148">
        <f>S281*H281</f>
        <v>0</v>
      </c>
      <c r="AR281" s="149" t="s">
        <v>239</v>
      </c>
      <c r="AT281" s="149" t="s">
        <v>271</v>
      </c>
      <c r="AU281" s="149" t="s">
        <v>20</v>
      </c>
      <c r="AY281" s="18" t="s">
        <v>184</v>
      </c>
      <c r="BE281" s="150">
        <f>IF(N281="základní",J281,0)</f>
        <v>5339.51</v>
      </c>
      <c r="BF281" s="150">
        <f>IF(N281="snížená",J281,0)</f>
        <v>0</v>
      </c>
      <c r="BG281" s="150">
        <f>IF(N281="zákl. přenesená",J281,0)</f>
        <v>0</v>
      </c>
      <c r="BH281" s="150">
        <f>IF(N281="sníž. přenesená",J281,0)</f>
        <v>0</v>
      </c>
      <c r="BI281" s="150">
        <f>IF(N281="nulová",J281,0)</f>
        <v>0</v>
      </c>
      <c r="BJ281" s="18" t="s">
        <v>88</v>
      </c>
      <c r="BK281" s="150">
        <f>ROUND(I281*H281,2)</f>
        <v>5339.51</v>
      </c>
      <c r="BL281" s="18" t="s">
        <v>191</v>
      </c>
      <c r="BM281" s="149" t="s">
        <v>1007</v>
      </c>
    </row>
    <row r="282" spans="2:65" s="1" customFormat="1" ht="16.5" customHeight="1" x14ac:dyDescent="0.3">
      <c r="B282" s="33"/>
      <c r="C282" s="138" t="s">
        <v>1008</v>
      </c>
      <c r="D282" s="138" t="s">
        <v>186</v>
      </c>
      <c r="E282" s="139" t="s">
        <v>1009</v>
      </c>
      <c r="F282" s="140" t="s">
        <v>1010</v>
      </c>
      <c r="G282" s="141" t="s">
        <v>189</v>
      </c>
      <c r="H282" s="142">
        <v>3.14</v>
      </c>
      <c r="I282" s="143">
        <v>4581.53</v>
      </c>
      <c r="J282" s="144">
        <f>ROUND(I282*H282,2)</f>
        <v>14386</v>
      </c>
      <c r="K282" s="140" t="s">
        <v>190</v>
      </c>
      <c r="L282" s="33"/>
      <c r="M282" s="145" t="s">
        <v>1</v>
      </c>
      <c r="N282" s="146" t="s">
        <v>47</v>
      </c>
      <c r="O282" s="147">
        <v>2.2759999999999998</v>
      </c>
      <c r="P282" s="147">
        <f>O282*H282</f>
        <v>7.1466399999999997</v>
      </c>
      <c r="Q282" s="147">
        <v>0.10519000000000001</v>
      </c>
      <c r="R282" s="147">
        <f>Q282*H282</f>
        <v>0.33029660000000005</v>
      </c>
      <c r="S282" s="147">
        <v>0</v>
      </c>
      <c r="T282" s="148">
        <f>S282*H282</f>
        <v>0</v>
      </c>
      <c r="AR282" s="149" t="s">
        <v>191</v>
      </c>
      <c r="AT282" s="149" t="s">
        <v>186</v>
      </c>
      <c r="AU282" s="149" t="s">
        <v>20</v>
      </c>
      <c r="AY282" s="18" t="s">
        <v>184</v>
      </c>
      <c r="BE282" s="150">
        <f>IF(N282="základní",J282,0)</f>
        <v>14386</v>
      </c>
      <c r="BF282" s="150">
        <f>IF(N282="snížená",J282,0)</f>
        <v>0</v>
      </c>
      <c r="BG282" s="150">
        <f>IF(N282="zákl. přenesená",J282,0)</f>
        <v>0</v>
      </c>
      <c r="BH282" s="150">
        <f>IF(N282="sníž. přenesená",J282,0)</f>
        <v>0</v>
      </c>
      <c r="BI282" s="150">
        <f>IF(N282="nulová",J282,0)</f>
        <v>0</v>
      </c>
      <c r="BJ282" s="18" t="s">
        <v>88</v>
      </c>
      <c r="BK282" s="150">
        <f>ROUND(I282*H282,2)</f>
        <v>14386</v>
      </c>
      <c r="BL282" s="18" t="s">
        <v>191</v>
      </c>
      <c r="BM282" s="149" t="s">
        <v>1011</v>
      </c>
    </row>
    <row r="283" spans="2:65" s="1" customFormat="1" x14ac:dyDescent="0.3">
      <c r="B283" s="33"/>
      <c r="D283" s="151" t="s">
        <v>193</v>
      </c>
      <c r="F283" s="152" t="s">
        <v>1012</v>
      </c>
      <c r="I283" s="153"/>
      <c r="L283" s="33"/>
      <c r="M283" s="154"/>
      <c r="T283" s="57"/>
      <c r="AT283" s="18" t="s">
        <v>193</v>
      </c>
      <c r="AU283" s="18" t="s">
        <v>20</v>
      </c>
    </row>
    <row r="284" spans="2:65" s="12" customFormat="1" ht="11.25" x14ac:dyDescent="0.3">
      <c r="B284" s="155"/>
      <c r="D284" s="156" t="s">
        <v>195</v>
      </c>
      <c r="E284" s="157" t="s">
        <v>1</v>
      </c>
      <c r="F284" s="158" t="s">
        <v>1013</v>
      </c>
      <c r="H284" s="159">
        <v>3.14</v>
      </c>
      <c r="I284" s="160"/>
      <c r="L284" s="155"/>
      <c r="M284" s="161"/>
      <c r="T284" s="162"/>
      <c r="AT284" s="157" t="s">
        <v>195</v>
      </c>
      <c r="AU284" s="157" t="s">
        <v>20</v>
      </c>
      <c r="AV284" s="12" t="s">
        <v>20</v>
      </c>
      <c r="AW284" s="12" t="s">
        <v>37</v>
      </c>
      <c r="AX284" s="12" t="s">
        <v>88</v>
      </c>
      <c r="AY284" s="157" t="s">
        <v>184</v>
      </c>
    </row>
    <row r="285" spans="2:65" s="1" customFormat="1" ht="16.5" customHeight="1" x14ac:dyDescent="0.3">
      <c r="B285" s="33"/>
      <c r="C285" s="138" t="s">
        <v>1014</v>
      </c>
      <c r="D285" s="138" t="s">
        <v>186</v>
      </c>
      <c r="E285" s="139" t="s">
        <v>1015</v>
      </c>
      <c r="F285" s="140" t="s">
        <v>1016</v>
      </c>
      <c r="G285" s="141" t="s">
        <v>557</v>
      </c>
      <c r="H285" s="142">
        <v>6</v>
      </c>
      <c r="I285" s="143">
        <v>2290.7600000000002</v>
      </c>
      <c r="J285" s="144">
        <f>ROUND(I285*H285,2)</f>
        <v>13744.56</v>
      </c>
      <c r="K285" s="140" t="s">
        <v>190</v>
      </c>
      <c r="L285" s="33"/>
      <c r="M285" s="145" t="s">
        <v>1</v>
      </c>
      <c r="N285" s="146" t="s">
        <v>47</v>
      </c>
      <c r="O285" s="147">
        <v>2.11</v>
      </c>
      <c r="P285" s="147">
        <f>O285*H285</f>
        <v>12.66</v>
      </c>
      <c r="Q285" s="147">
        <v>0.12422</v>
      </c>
      <c r="R285" s="147">
        <f>Q285*H285</f>
        <v>0.74531999999999998</v>
      </c>
      <c r="S285" s="147">
        <v>0</v>
      </c>
      <c r="T285" s="148">
        <f>S285*H285</f>
        <v>0</v>
      </c>
      <c r="AR285" s="149" t="s">
        <v>191</v>
      </c>
      <c r="AT285" s="149" t="s">
        <v>186</v>
      </c>
      <c r="AU285" s="149" t="s">
        <v>20</v>
      </c>
      <c r="AY285" s="18" t="s">
        <v>184</v>
      </c>
      <c r="BE285" s="150">
        <f>IF(N285="základní",J285,0)</f>
        <v>13744.56</v>
      </c>
      <c r="BF285" s="150">
        <f>IF(N285="snížená",J285,0)</f>
        <v>0</v>
      </c>
      <c r="BG285" s="150">
        <f>IF(N285="zákl. přenesená",J285,0)</f>
        <v>0</v>
      </c>
      <c r="BH285" s="150">
        <f>IF(N285="sníž. přenesená",J285,0)</f>
        <v>0</v>
      </c>
      <c r="BI285" s="150">
        <f>IF(N285="nulová",J285,0)</f>
        <v>0</v>
      </c>
      <c r="BJ285" s="18" t="s">
        <v>88</v>
      </c>
      <c r="BK285" s="150">
        <f>ROUND(I285*H285,2)</f>
        <v>13744.56</v>
      </c>
      <c r="BL285" s="18" t="s">
        <v>191</v>
      </c>
      <c r="BM285" s="149" t="s">
        <v>1017</v>
      </c>
    </row>
    <row r="286" spans="2:65" s="1" customFormat="1" x14ac:dyDescent="0.3">
      <c r="B286" s="33"/>
      <c r="D286" s="151" t="s">
        <v>193</v>
      </c>
      <c r="F286" s="152" t="s">
        <v>1018</v>
      </c>
      <c r="I286" s="153"/>
      <c r="L286" s="33"/>
      <c r="M286" s="154"/>
      <c r="T286" s="57"/>
      <c r="AT286" s="18" t="s">
        <v>193</v>
      </c>
      <c r="AU286" s="18" t="s">
        <v>20</v>
      </c>
    </row>
    <row r="287" spans="2:65" s="1" customFormat="1" ht="16.5" customHeight="1" x14ac:dyDescent="0.3">
      <c r="B287" s="33"/>
      <c r="C287" s="172" t="s">
        <v>1019</v>
      </c>
      <c r="D287" s="172" t="s">
        <v>271</v>
      </c>
      <c r="E287" s="173" t="s">
        <v>1020</v>
      </c>
      <c r="F287" s="174" t="s">
        <v>1021</v>
      </c>
      <c r="G287" s="175" t="s">
        <v>557</v>
      </c>
      <c r="H287" s="176">
        <v>6</v>
      </c>
      <c r="I287" s="177">
        <v>1982.78</v>
      </c>
      <c r="J287" s="178">
        <f>ROUND(I287*H287,2)</f>
        <v>11896.68</v>
      </c>
      <c r="K287" s="174" t="s">
        <v>190</v>
      </c>
      <c r="L287" s="179"/>
      <c r="M287" s="180" t="s">
        <v>1</v>
      </c>
      <c r="N287" s="181" t="s">
        <v>47</v>
      </c>
      <c r="O287" s="147">
        <v>0</v>
      </c>
      <c r="P287" s="147">
        <f>O287*H287</f>
        <v>0</v>
      </c>
      <c r="Q287" s="147">
        <v>6.7000000000000004E-2</v>
      </c>
      <c r="R287" s="147">
        <f>Q287*H287</f>
        <v>0.40200000000000002</v>
      </c>
      <c r="S287" s="147">
        <v>0</v>
      </c>
      <c r="T287" s="148">
        <f>S287*H287</f>
        <v>0</v>
      </c>
      <c r="AR287" s="149" t="s">
        <v>239</v>
      </c>
      <c r="AT287" s="149" t="s">
        <v>271</v>
      </c>
      <c r="AU287" s="149" t="s">
        <v>20</v>
      </c>
      <c r="AY287" s="18" t="s">
        <v>184</v>
      </c>
      <c r="BE287" s="150">
        <f>IF(N287="základní",J287,0)</f>
        <v>11896.68</v>
      </c>
      <c r="BF287" s="150">
        <f>IF(N287="snížená",J287,0)</f>
        <v>0</v>
      </c>
      <c r="BG287" s="150">
        <f>IF(N287="zákl. přenesená",J287,0)</f>
        <v>0</v>
      </c>
      <c r="BH287" s="150">
        <f>IF(N287="sníž. přenesená",J287,0)</f>
        <v>0</v>
      </c>
      <c r="BI287" s="150">
        <f>IF(N287="nulová",J287,0)</f>
        <v>0</v>
      </c>
      <c r="BJ287" s="18" t="s">
        <v>88</v>
      </c>
      <c r="BK287" s="150">
        <f>ROUND(I287*H287,2)</f>
        <v>11896.68</v>
      </c>
      <c r="BL287" s="18" t="s">
        <v>191</v>
      </c>
      <c r="BM287" s="149" t="s">
        <v>1022</v>
      </c>
    </row>
    <row r="288" spans="2:65" s="1" customFormat="1" ht="16.5" customHeight="1" x14ac:dyDescent="0.3">
      <c r="B288" s="33"/>
      <c r="C288" s="138" t="s">
        <v>1023</v>
      </c>
      <c r="D288" s="138" t="s">
        <v>186</v>
      </c>
      <c r="E288" s="139" t="s">
        <v>1024</v>
      </c>
      <c r="F288" s="140" t="s">
        <v>1025</v>
      </c>
      <c r="G288" s="141" t="s">
        <v>557</v>
      </c>
      <c r="H288" s="142">
        <v>12</v>
      </c>
      <c r="I288" s="143">
        <v>1679.89</v>
      </c>
      <c r="J288" s="144">
        <f>ROUND(I288*H288,2)</f>
        <v>20158.68</v>
      </c>
      <c r="K288" s="140" t="s">
        <v>190</v>
      </c>
      <c r="L288" s="33"/>
      <c r="M288" s="145" t="s">
        <v>1</v>
      </c>
      <c r="N288" s="146" t="s">
        <v>47</v>
      </c>
      <c r="O288" s="147">
        <v>1.998</v>
      </c>
      <c r="P288" s="147">
        <f>O288*H288</f>
        <v>23.975999999999999</v>
      </c>
      <c r="Q288" s="147">
        <v>2.972E-2</v>
      </c>
      <c r="R288" s="147">
        <f>Q288*H288</f>
        <v>0.35664000000000001</v>
      </c>
      <c r="S288" s="147">
        <v>0</v>
      </c>
      <c r="T288" s="148">
        <f>S288*H288</f>
        <v>0</v>
      </c>
      <c r="AR288" s="149" t="s">
        <v>191</v>
      </c>
      <c r="AT288" s="149" t="s">
        <v>186</v>
      </c>
      <c r="AU288" s="149" t="s">
        <v>20</v>
      </c>
      <c r="AY288" s="18" t="s">
        <v>184</v>
      </c>
      <c r="BE288" s="150">
        <f>IF(N288="základní",J288,0)</f>
        <v>20158.68</v>
      </c>
      <c r="BF288" s="150">
        <f>IF(N288="snížená",J288,0)</f>
        <v>0</v>
      </c>
      <c r="BG288" s="150">
        <f>IF(N288="zákl. přenesená",J288,0)</f>
        <v>0</v>
      </c>
      <c r="BH288" s="150">
        <f>IF(N288="sníž. přenesená",J288,0)</f>
        <v>0</v>
      </c>
      <c r="BI288" s="150">
        <f>IF(N288="nulová",J288,0)</f>
        <v>0</v>
      </c>
      <c r="BJ288" s="18" t="s">
        <v>88</v>
      </c>
      <c r="BK288" s="150">
        <f>ROUND(I288*H288,2)</f>
        <v>20158.68</v>
      </c>
      <c r="BL288" s="18" t="s">
        <v>191</v>
      </c>
      <c r="BM288" s="149" t="s">
        <v>1026</v>
      </c>
    </row>
    <row r="289" spans="2:65" s="1" customFormat="1" x14ac:dyDescent="0.3">
      <c r="B289" s="33"/>
      <c r="D289" s="151" t="s">
        <v>193</v>
      </c>
      <c r="F289" s="152" t="s">
        <v>1027</v>
      </c>
      <c r="I289" s="153"/>
      <c r="L289" s="33"/>
      <c r="M289" s="154"/>
      <c r="T289" s="57"/>
      <c r="AT289" s="18" t="s">
        <v>193</v>
      </c>
      <c r="AU289" s="18" t="s">
        <v>20</v>
      </c>
    </row>
    <row r="290" spans="2:65" s="1" customFormat="1" ht="16.5" customHeight="1" x14ac:dyDescent="0.3">
      <c r="B290" s="33"/>
      <c r="C290" s="172" t="s">
        <v>1028</v>
      </c>
      <c r="D290" s="172" t="s">
        <v>271</v>
      </c>
      <c r="E290" s="173" t="s">
        <v>1029</v>
      </c>
      <c r="F290" s="174" t="s">
        <v>1030</v>
      </c>
      <c r="G290" s="175" t="s">
        <v>557</v>
      </c>
      <c r="H290" s="176">
        <v>6</v>
      </c>
      <c r="I290" s="177">
        <v>519.29999999999995</v>
      </c>
      <c r="J290" s="178">
        <f>ROUND(I290*H290,2)</f>
        <v>3115.8</v>
      </c>
      <c r="K290" s="174" t="s">
        <v>190</v>
      </c>
      <c r="L290" s="179"/>
      <c r="M290" s="180" t="s">
        <v>1</v>
      </c>
      <c r="N290" s="181" t="s">
        <v>47</v>
      </c>
      <c r="O290" s="147">
        <v>0</v>
      </c>
      <c r="P290" s="147">
        <f>O290*H290</f>
        <v>0</v>
      </c>
      <c r="Q290" s="147">
        <v>0.112</v>
      </c>
      <c r="R290" s="147">
        <f>Q290*H290</f>
        <v>0.67200000000000004</v>
      </c>
      <c r="S290" s="147">
        <v>0</v>
      </c>
      <c r="T290" s="148">
        <f>S290*H290</f>
        <v>0</v>
      </c>
      <c r="AR290" s="149" t="s">
        <v>239</v>
      </c>
      <c r="AT290" s="149" t="s">
        <v>271</v>
      </c>
      <c r="AU290" s="149" t="s">
        <v>20</v>
      </c>
      <c r="AY290" s="18" t="s">
        <v>184</v>
      </c>
      <c r="BE290" s="150">
        <f>IF(N290="základní",J290,0)</f>
        <v>3115.8</v>
      </c>
      <c r="BF290" s="150">
        <f>IF(N290="snížená",J290,0)</f>
        <v>0</v>
      </c>
      <c r="BG290" s="150">
        <f>IF(N290="zákl. přenesená",J290,0)</f>
        <v>0</v>
      </c>
      <c r="BH290" s="150">
        <f>IF(N290="sníž. přenesená",J290,0)</f>
        <v>0</v>
      </c>
      <c r="BI290" s="150">
        <f>IF(N290="nulová",J290,0)</f>
        <v>0</v>
      </c>
      <c r="BJ290" s="18" t="s">
        <v>88</v>
      </c>
      <c r="BK290" s="150">
        <f>ROUND(I290*H290,2)</f>
        <v>3115.8</v>
      </c>
      <c r="BL290" s="18" t="s">
        <v>191</v>
      </c>
      <c r="BM290" s="149" t="s">
        <v>1031</v>
      </c>
    </row>
    <row r="291" spans="2:65" s="1" customFormat="1" ht="16.5" customHeight="1" x14ac:dyDescent="0.3">
      <c r="B291" s="33"/>
      <c r="C291" s="172" t="s">
        <v>1032</v>
      </c>
      <c r="D291" s="172" t="s">
        <v>271</v>
      </c>
      <c r="E291" s="173" t="s">
        <v>1033</v>
      </c>
      <c r="F291" s="174" t="s">
        <v>1034</v>
      </c>
      <c r="G291" s="175" t="s">
        <v>557</v>
      </c>
      <c r="H291" s="176">
        <v>6</v>
      </c>
      <c r="I291" s="177">
        <v>307.67</v>
      </c>
      <c r="J291" s="178">
        <f>ROUND(I291*H291,2)</f>
        <v>1846.02</v>
      </c>
      <c r="K291" s="174" t="s">
        <v>190</v>
      </c>
      <c r="L291" s="179"/>
      <c r="M291" s="180" t="s">
        <v>1</v>
      </c>
      <c r="N291" s="181" t="s">
        <v>47</v>
      </c>
      <c r="O291" s="147">
        <v>0</v>
      </c>
      <c r="P291" s="147">
        <f>O291*H291</f>
        <v>0</v>
      </c>
      <c r="Q291" s="147">
        <v>2.7E-2</v>
      </c>
      <c r="R291" s="147">
        <f>Q291*H291</f>
        <v>0.16200000000000001</v>
      </c>
      <c r="S291" s="147">
        <v>0</v>
      </c>
      <c r="T291" s="148">
        <f>S291*H291</f>
        <v>0</v>
      </c>
      <c r="AR291" s="149" t="s">
        <v>239</v>
      </c>
      <c r="AT291" s="149" t="s">
        <v>271</v>
      </c>
      <c r="AU291" s="149" t="s">
        <v>20</v>
      </c>
      <c r="AY291" s="18" t="s">
        <v>184</v>
      </c>
      <c r="BE291" s="150">
        <f>IF(N291="základní",J291,0)</f>
        <v>1846.02</v>
      </c>
      <c r="BF291" s="150">
        <f>IF(N291="snížená",J291,0)</f>
        <v>0</v>
      </c>
      <c r="BG291" s="150">
        <f>IF(N291="zákl. přenesená",J291,0)</f>
        <v>0</v>
      </c>
      <c r="BH291" s="150">
        <f>IF(N291="sníž. přenesená",J291,0)</f>
        <v>0</v>
      </c>
      <c r="BI291" s="150">
        <f>IF(N291="nulová",J291,0)</f>
        <v>0</v>
      </c>
      <c r="BJ291" s="18" t="s">
        <v>88</v>
      </c>
      <c r="BK291" s="150">
        <f>ROUND(I291*H291,2)</f>
        <v>1846.02</v>
      </c>
      <c r="BL291" s="18" t="s">
        <v>191</v>
      </c>
      <c r="BM291" s="149" t="s">
        <v>1035</v>
      </c>
    </row>
    <row r="292" spans="2:65" s="1" customFormat="1" ht="16.5" customHeight="1" x14ac:dyDescent="0.3">
      <c r="B292" s="33"/>
      <c r="C292" s="138" t="s">
        <v>1036</v>
      </c>
      <c r="D292" s="138" t="s">
        <v>186</v>
      </c>
      <c r="E292" s="139" t="s">
        <v>1037</v>
      </c>
      <c r="F292" s="140" t="s">
        <v>1038</v>
      </c>
      <c r="G292" s="141" t="s">
        <v>557</v>
      </c>
      <c r="H292" s="142">
        <v>1</v>
      </c>
      <c r="I292" s="143">
        <v>1908.97</v>
      </c>
      <c r="J292" s="144">
        <f>ROUND(I292*H292,2)</f>
        <v>1908.97</v>
      </c>
      <c r="K292" s="140" t="s">
        <v>190</v>
      </c>
      <c r="L292" s="33"/>
      <c r="M292" s="145" t="s">
        <v>1</v>
      </c>
      <c r="N292" s="146" t="s">
        <v>47</v>
      </c>
      <c r="O292" s="147">
        <v>1.798</v>
      </c>
      <c r="P292" s="147">
        <f>O292*H292</f>
        <v>1.798</v>
      </c>
      <c r="Q292" s="147">
        <v>2.972E-2</v>
      </c>
      <c r="R292" s="147">
        <f>Q292*H292</f>
        <v>2.972E-2</v>
      </c>
      <c r="S292" s="147">
        <v>0</v>
      </c>
      <c r="T292" s="148">
        <f>S292*H292</f>
        <v>0</v>
      </c>
      <c r="AR292" s="149" t="s">
        <v>191</v>
      </c>
      <c r="AT292" s="149" t="s">
        <v>186</v>
      </c>
      <c r="AU292" s="149" t="s">
        <v>20</v>
      </c>
      <c r="AY292" s="18" t="s">
        <v>184</v>
      </c>
      <c r="BE292" s="150">
        <f>IF(N292="základní",J292,0)</f>
        <v>1908.97</v>
      </c>
      <c r="BF292" s="150">
        <f>IF(N292="snížená",J292,0)</f>
        <v>0</v>
      </c>
      <c r="BG292" s="150">
        <f>IF(N292="zákl. přenesená",J292,0)</f>
        <v>0</v>
      </c>
      <c r="BH292" s="150">
        <f>IF(N292="sníž. přenesená",J292,0)</f>
        <v>0</v>
      </c>
      <c r="BI292" s="150">
        <f>IF(N292="nulová",J292,0)</f>
        <v>0</v>
      </c>
      <c r="BJ292" s="18" t="s">
        <v>88</v>
      </c>
      <c r="BK292" s="150">
        <f>ROUND(I292*H292,2)</f>
        <v>1908.97</v>
      </c>
      <c r="BL292" s="18" t="s">
        <v>191</v>
      </c>
      <c r="BM292" s="149" t="s">
        <v>1039</v>
      </c>
    </row>
    <row r="293" spans="2:65" s="1" customFormat="1" x14ac:dyDescent="0.3">
      <c r="B293" s="33"/>
      <c r="D293" s="151" t="s">
        <v>193</v>
      </c>
      <c r="F293" s="152" t="s">
        <v>1040</v>
      </c>
      <c r="I293" s="153"/>
      <c r="L293" s="33"/>
      <c r="M293" s="154"/>
      <c r="T293" s="57"/>
      <c r="AT293" s="18" t="s">
        <v>193</v>
      </c>
      <c r="AU293" s="18" t="s">
        <v>20</v>
      </c>
    </row>
    <row r="294" spans="2:65" s="1" customFormat="1" ht="16.5" customHeight="1" x14ac:dyDescent="0.3">
      <c r="B294" s="33"/>
      <c r="C294" s="172" t="s">
        <v>1041</v>
      </c>
      <c r="D294" s="172" t="s">
        <v>271</v>
      </c>
      <c r="E294" s="173" t="s">
        <v>1042</v>
      </c>
      <c r="F294" s="174" t="s">
        <v>1043</v>
      </c>
      <c r="G294" s="175" t="s">
        <v>557</v>
      </c>
      <c r="H294" s="176">
        <v>1</v>
      </c>
      <c r="I294" s="177">
        <v>507.9</v>
      </c>
      <c r="J294" s="178">
        <f>ROUND(I294*H294,2)</f>
        <v>507.9</v>
      </c>
      <c r="K294" s="174" t="s">
        <v>190</v>
      </c>
      <c r="L294" s="179"/>
      <c r="M294" s="180" t="s">
        <v>1</v>
      </c>
      <c r="N294" s="181" t="s">
        <v>47</v>
      </c>
      <c r="O294" s="147">
        <v>0</v>
      </c>
      <c r="P294" s="147">
        <f>O294*H294</f>
        <v>0</v>
      </c>
      <c r="Q294" s="147">
        <v>0.09</v>
      </c>
      <c r="R294" s="147">
        <f>Q294*H294</f>
        <v>0.09</v>
      </c>
      <c r="S294" s="147">
        <v>0</v>
      </c>
      <c r="T294" s="148">
        <f>S294*H294</f>
        <v>0</v>
      </c>
      <c r="AR294" s="149" t="s">
        <v>239</v>
      </c>
      <c r="AT294" s="149" t="s">
        <v>271</v>
      </c>
      <c r="AU294" s="149" t="s">
        <v>20</v>
      </c>
      <c r="AY294" s="18" t="s">
        <v>184</v>
      </c>
      <c r="BE294" s="150">
        <f>IF(N294="základní",J294,0)</f>
        <v>507.9</v>
      </c>
      <c r="BF294" s="150">
        <f>IF(N294="snížená",J294,0)</f>
        <v>0</v>
      </c>
      <c r="BG294" s="150">
        <f>IF(N294="zákl. přenesená",J294,0)</f>
        <v>0</v>
      </c>
      <c r="BH294" s="150">
        <f>IF(N294="sníž. přenesená",J294,0)</f>
        <v>0</v>
      </c>
      <c r="BI294" s="150">
        <f>IF(N294="nulová",J294,0)</f>
        <v>0</v>
      </c>
      <c r="BJ294" s="18" t="s">
        <v>88</v>
      </c>
      <c r="BK294" s="150">
        <f>ROUND(I294*H294,2)</f>
        <v>507.9</v>
      </c>
      <c r="BL294" s="18" t="s">
        <v>191</v>
      </c>
      <c r="BM294" s="149" t="s">
        <v>1044</v>
      </c>
    </row>
    <row r="295" spans="2:65" s="1" customFormat="1" ht="16.5" customHeight="1" x14ac:dyDescent="0.3">
      <c r="B295" s="33"/>
      <c r="C295" s="138" t="s">
        <v>1045</v>
      </c>
      <c r="D295" s="138" t="s">
        <v>186</v>
      </c>
      <c r="E295" s="139" t="s">
        <v>1046</v>
      </c>
      <c r="F295" s="140" t="s">
        <v>1047</v>
      </c>
      <c r="G295" s="141" t="s">
        <v>557</v>
      </c>
      <c r="H295" s="142">
        <v>6</v>
      </c>
      <c r="I295" s="143">
        <v>2290.7600000000002</v>
      </c>
      <c r="J295" s="144">
        <f>ROUND(I295*H295,2)</f>
        <v>13744.56</v>
      </c>
      <c r="K295" s="140" t="s">
        <v>190</v>
      </c>
      <c r="L295" s="33"/>
      <c r="M295" s="145" t="s">
        <v>1</v>
      </c>
      <c r="N295" s="146" t="s">
        <v>47</v>
      </c>
      <c r="O295" s="147">
        <v>2.1</v>
      </c>
      <c r="P295" s="147">
        <f>O295*H295</f>
        <v>12.600000000000001</v>
      </c>
      <c r="Q295" s="147">
        <v>2.972E-2</v>
      </c>
      <c r="R295" s="147">
        <f>Q295*H295</f>
        <v>0.17832000000000001</v>
      </c>
      <c r="S295" s="147">
        <v>0</v>
      </c>
      <c r="T295" s="148">
        <f>S295*H295</f>
        <v>0</v>
      </c>
      <c r="AR295" s="149" t="s">
        <v>191</v>
      </c>
      <c r="AT295" s="149" t="s">
        <v>186</v>
      </c>
      <c r="AU295" s="149" t="s">
        <v>20</v>
      </c>
      <c r="AY295" s="18" t="s">
        <v>184</v>
      </c>
      <c r="BE295" s="150">
        <f>IF(N295="základní",J295,0)</f>
        <v>13744.56</v>
      </c>
      <c r="BF295" s="150">
        <f>IF(N295="snížená",J295,0)</f>
        <v>0</v>
      </c>
      <c r="BG295" s="150">
        <f>IF(N295="zákl. přenesená",J295,0)</f>
        <v>0</v>
      </c>
      <c r="BH295" s="150">
        <f>IF(N295="sníž. přenesená",J295,0)</f>
        <v>0</v>
      </c>
      <c r="BI295" s="150">
        <f>IF(N295="nulová",J295,0)</f>
        <v>0</v>
      </c>
      <c r="BJ295" s="18" t="s">
        <v>88</v>
      </c>
      <c r="BK295" s="150">
        <f>ROUND(I295*H295,2)</f>
        <v>13744.56</v>
      </c>
      <c r="BL295" s="18" t="s">
        <v>191</v>
      </c>
      <c r="BM295" s="149" t="s">
        <v>1048</v>
      </c>
    </row>
    <row r="296" spans="2:65" s="1" customFormat="1" x14ac:dyDescent="0.3">
      <c r="B296" s="33"/>
      <c r="D296" s="151" t="s">
        <v>193</v>
      </c>
      <c r="F296" s="152" t="s">
        <v>1049</v>
      </c>
      <c r="I296" s="153"/>
      <c r="L296" s="33"/>
      <c r="M296" s="154"/>
      <c r="T296" s="57"/>
      <c r="AT296" s="18" t="s">
        <v>193</v>
      </c>
      <c r="AU296" s="18" t="s">
        <v>20</v>
      </c>
    </row>
    <row r="297" spans="2:65" s="1" customFormat="1" ht="21.75" customHeight="1" x14ac:dyDescent="0.3">
      <c r="B297" s="33"/>
      <c r="C297" s="172" t="s">
        <v>1050</v>
      </c>
      <c r="D297" s="172" t="s">
        <v>271</v>
      </c>
      <c r="E297" s="173" t="s">
        <v>1051</v>
      </c>
      <c r="F297" s="174" t="s">
        <v>1052</v>
      </c>
      <c r="G297" s="175" t="s">
        <v>557</v>
      </c>
      <c r="H297" s="176">
        <v>6</v>
      </c>
      <c r="I297" s="177">
        <v>1982.78</v>
      </c>
      <c r="J297" s="178">
        <f t="shared" ref="J297:J303" si="0">ROUND(I297*H297,2)</f>
        <v>11896.68</v>
      </c>
      <c r="K297" s="174" t="s">
        <v>190</v>
      </c>
      <c r="L297" s="179"/>
      <c r="M297" s="180" t="s">
        <v>1</v>
      </c>
      <c r="N297" s="181" t="s">
        <v>47</v>
      </c>
      <c r="O297" s="147">
        <v>0</v>
      </c>
      <c r="P297" s="147">
        <f t="shared" ref="P297:P303" si="1">O297*H297</f>
        <v>0</v>
      </c>
      <c r="Q297" s="147">
        <v>0.29799999999999999</v>
      </c>
      <c r="R297" s="147">
        <f t="shared" ref="R297:R303" si="2">Q297*H297</f>
        <v>1.7879999999999998</v>
      </c>
      <c r="S297" s="147">
        <v>0</v>
      </c>
      <c r="T297" s="148">
        <f t="shared" ref="T297:T303" si="3">S297*H297</f>
        <v>0</v>
      </c>
      <c r="AR297" s="149" t="s">
        <v>239</v>
      </c>
      <c r="AT297" s="149" t="s">
        <v>271</v>
      </c>
      <c r="AU297" s="149" t="s">
        <v>20</v>
      </c>
      <c r="AY297" s="18" t="s">
        <v>184</v>
      </c>
      <c r="BE297" s="150">
        <f t="shared" ref="BE297:BE303" si="4">IF(N297="základní",J297,0)</f>
        <v>11896.68</v>
      </c>
      <c r="BF297" s="150">
        <f t="shared" ref="BF297:BF303" si="5">IF(N297="snížená",J297,0)</f>
        <v>0</v>
      </c>
      <c r="BG297" s="150">
        <f t="shared" ref="BG297:BG303" si="6">IF(N297="zákl. přenesená",J297,0)</f>
        <v>0</v>
      </c>
      <c r="BH297" s="150">
        <f t="shared" ref="BH297:BH303" si="7">IF(N297="sníž. přenesená",J297,0)</f>
        <v>0</v>
      </c>
      <c r="BI297" s="150">
        <f t="shared" ref="BI297:BI303" si="8">IF(N297="nulová",J297,0)</f>
        <v>0</v>
      </c>
      <c r="BJ297" s="18" t="s">
        <v>88</v>
      </c>
      <c r="BK297" s="150">
        <f t="shared" ref="BK297:BK303" si="9">ROUND(I297*H297,2)</f>
        <v>11896.68</v>
      </c>
      <c r="BL297" s="18" t="s">
        <v>191</v>
      </c>
      <c r="BM297" s="149" t="s">
        <v>1053</v>
      </c>
    </row>
    <row r="298" spans="2:65" s="1" customFormat="1" ht="16.5" customHeight="1" x14ac:dyDescent="0.3">
      <c r="B298" s="33"/>
      <c r="C298" s="138" t="s">
        <v>1054</v>
      </c>
      <c r="D298" s="138" t="s">
        <v>186</v>
      </c>
      <c r="E298" s="139" t="s">
        <v>1055</v>
      </c>
      <c r="F298" s="140" t="s">
        <v>1056</v>
      </c>
      <c r="G298" s="141" t="s">
        <v>557</v>
      </c>
      <c r="H298" s="142">
        <v>5</v>
      </c>
      <c r="I298" s="143">
        <v>5345.11</v>
      </c>
      <c r="J298" s="144">
        <f t="shared" si="0"/>
        <v>26725.55</v>
      </c>
      <c r="K298" s="140" t="s">
        <v>658</v>
      </c>
      <c r="L298" s="33"/>
      <c r="M298" s="145" t="s">
        <v>1</v>
      </c>
      <c r="N298" s="146" t="s">
        <v>47</v>
      </c>
      <c r="O298" s="147">
        <v>1.694</v>
      </c>
      <c r="P298" s="147">
        <f t="shared" si="1"/>
        <v>8.4699999999999989</v>
      </c>
      <c r="Q298" s="147">
        <v>0.21734000000000001</v>
      </c>
      <c r="R298" s="147">
        <f t="shared" si="2"/>
        <v>1.0867</v>
      </c>
      <c r="S298" s="147">
        <v>0</v>
      </c>
      <c r="T298" s="148">
        <f t="shared" si="3"/>
        <v>0</v>
      </c>
      <c r="AR298" s="149" t="s">
        <v>191</v>
      </c>
      <c r="AT298" s="149" t="s">
        <v>186</v>
      </c>
      <c r="AU298" s="149" t="s">
        <v>20</v>
      </c>
      <c r="AY298" s="18" t="s">
        <v>184</v>
      </c>
      <c r="BE298" s="150">
        <f t="shared" si="4"/>
        <v>26725.55</v>
      </c>
      <c r="BF298" s="150">
        <f t="shared" si="5"/>
        <v>0</v>
      </c>
      <c r="BG298" s="150">
        <f t="shared" si="6"/>
        <v>0</v>
      </c>
      <c r="BH298" s="150">
        <f t="shared" si="7"/>
        <v>0</v>
      </c>
      <c r="BI298" s="150">
        <f t="shared" si="8"/>
        <v>0</v>
      </c>
      <c r="BJ298" s="18" t="s">
        <v>88</v>
      </c>
      <c r="BK298" s="150">
        <f t="shared" si="9"/>
        <v>26725.55</v>
      </c>
      <c r="BL298" s="18" t="s">
        <v>191</v>
      </c>
      <c r="BM298" s="149" t="s">
        <v>1057</v>
      </c>
    </row>
    <row r="299" spans="2:65" s="1" customFormat="1" ht="16.5" customHeight="1" x14ac:dyDescent="0.3">
      <c r="B299" s="33"/>
      <c r="C299" s="172" t="s">
        <v>1058</v>
      </c>
      <c r="D299" s="172" t="s">
        <v>271</v>
      </c>
      <c r="E299" s="173" t="s">
        <v>1059</v>
      </c>
      <c r="F299" s="174" t="s">
        <v>1060</v>
      </c>
      <c r="G299" s="175" t="s">
        <v>557</v>
      </c>
      <c r="H299" s="176">
        <v>5</v>
      </c>
      <c r="I299" s="177">
        <v>934.59</v>
      </c>
      <c r="J299" s="178">
        <f t="shared" si="0"/>
        <v>4672.95</v>
      </c>
      <c r="K299" s="174" t="s">
        <v>190</v>
      </c>
      <c r="L299" s="179"/>
      <c r="M299" s="180" t="s">
        <v>1</v>
      </c>
      <c r="N299" s="181" t="s">
        <v>47</v>
      </c>
      <c r="O299" s="147">
        <v>0</v>
      </c>
      <c r="P299" s="147">
        <f t="shared" si="1"/>
        <v>0</v>
      </c>
      <c r="Q299" s="147">
        <v>1.46E-2</v>
      </c>
      <c r="R299" s="147">
        <f t="shared" si="2"/>
        <v>7.2999999999999995E-2</v>
      </c>
      <c r="S299" s="147">
        <v>0</v>
      </c>
      <c r="T299" s="148">
        <f t="shared" si="3"/>
        <v>0</v>
      </c>
      <c r="AR299" s="149" t="s">
        <v>239</v>
      </c>
      <c r="AT299" s="149" t="s">
        <v>271</v>
      </c>
      <c r="AU299" s="149" t="s">
        <v>20</v>
      </c>
      <c r="AY299" s="18" t="s">
        <v>184</v>
      </c>
      <c r="BE299" s="150">
        <f t="shared" si="4"/>
        <v>4672.95</v>
      </c>
      <c r="BF299" s="150">
        <f t="shared" si="5"/>
        <v>0</v>
      </c>
      <c r="BG299" s="150">
        <f t="shared" si="6"/>
        <v>0</v>
      </c>
      <c r="BH299" s="150">
        <f t="shared" si="7"/>
        <v>0</v>
      </c>
      <c r="BI299" s="150">
        <f t="shared" si="8"/>
        <v>0</v>
      </c>
      <c r="BJ299" s="18" t="s">
        <v>88</v>
      </c>
      <c r="BK299" s="150">
        <f t="shared" si="9"/>
        <v>4672.95</v>
      </c>
      <c r="BL299" s="18" t="s">
        <v>191</v>
      </c>
      <c r="BM299" s="149" t="s">
        <v>1061</v>
      </c>
    </row>
    <row r="300" spans="2:65" s="1" customFormat="1" ht="16.5" customHeight="1" x14ac:dyDescent="0.3">
      <c r="B300" s="33"/>
      <c r="C300" s="172" t="s">
        <v>1062</v>
      </c>
      <c r="D300" s="172" t="s">
        <v>271</v>
      </c>
      <c r="E300" s="173" t="s">
        <v>1063</v>
      </c>
      <c r="F300" s="174" t="s">
        <v>1064</v>
      </c>
      <c r="G300" s="175" t="s">
        <v>557</v>
      </c>
      <c r="H300" s="176">
        <v>5</v>
      </c>
      <c r="I300" s="177">
        <v>9501.41</v>
      </c>
      <c r="J300" s="178">
        <f t="shared" si="0"/>
        <v>47507.05</v>
      </c>
      <c r="K300" s="174" t="s">
        <v>190</v>
      </c>
      <c r="L300" s="179"/>
      <c r="M300" s="180" t="s">
        <v>1</v>
      </c>
      <c r="N300" s="181" t="s">
        <v>47</v>
      </c>
      <c r="O300" s="147">
        <v>0</v>
      </c>
      <c r="P300" s="147">
        <f t="shared" si="1"/>
        <v>0</v>
      </c>
      <c r="Q300" s="147">
        <v>0.19600000000000001</v>
      </c>
      <c r="R300" s="147">
        <f t="shared" si="2"/>
        <v>0.98</v>
      </c>
      <c r="S300" s="147">
        <v>0</v>
      </c>
      <c r="T300" s="148">
        <f t="shared" si="3"/>
        <v>0</v>
      </c>
      <c r="AR300" s="149" t="s">
        <v>239</v>
      </c>
      <c r="AT300" s="149" t="s">
        <v>271</v>
      </c>
      <c r="AU300" s="149" t="s">
        <v>20</v>
      </c>
      <c r="AY300" s="18" t="s">
        <v>184</v>
      </c>
      <c r="BE300" s="150">
        <f t="shared" si="4"/>
        <v>47507.05</v>
      </c>
      <c r="BF300" s="150">
        <f t="shared" si="5"/>
        <v>0</v>
      </c>
      <c r="BG300" s="150">
        <f t="shared" si="6"/>
        <v>0</v>
      </c>
      <c r="BH300" s="150">
        <f t="shared" si="7"/>
        <v>0</v>
      </c>
      <c r="BI300" s="150">
        <f t="shared" si="8"/>
        <v>0</v>
      </c>
      <c r="BJ300" s="18" t="s">
        <v>88</v>
      </c>
      <c r="BK300" s="150">
        <f t="shared" si="9"/>
        <v>47507.05</v>
      </c>
      <c r="BL300" s="18" t="s">
        <v>191</v>
      </c>
      <c r="BM300" s="149" t="s">
        <v>1065</v>
      </c>
    </row>
    <row r="301" spans="2:65" s="1" customFormat="1" ht="16.5" customHeight="1" x14ac:dyDescent="0.3">
      <c r="B301" s="33"/>
      <c r="C301" s="138" t="s">
        <v>1066</v>
      </c>
      <c r="D301" s="138" t="s">
        <v>186</v>
      </c>
      <c r="E301" s="139" t="s">
        <v>1067</v>
      </c>
      <c r="F301" s="140" t="s">
        <v>1068</v>
      </c>
      <c r="G301" s="141" t="s">
        <v>557</v>
      </c>
      <c r="H301" s="142">
        <v>12</v>
      </c>
      <c r="I301" s="143">
        <v>2672.56</v>
      </c>
      <c r="J301" s="144">
        <f t="shared" si="0"/>
        <v>32070.720000000001</v>
      </c>
      <c r="K301" s="140" t="s">
        <v>1</v>
      </c>
      <c r="L301" s="33"/>
      <c r="M301" s="145" t="s">
        <v>1</v>
      </c>
      <c r="N301" s="146" t="s">
        <v>47</v>
      </c>
      <c r="O301" s="147">
        <v>2.0640000000000001</v>
      </c>
      <c r="P301" s="147">
        <f t="shared" si="1"/>
        <v>24.768000000000001</v>
      </c>
      <c r="Q301" s="147">
        <v>0.21734000000000001</v>
      </c>
      <c r="R301" s="147">
        <f t="shared" si="2"/>
        <v>2.6080800000000002</v>
      </c>
      <c r="S301" s="147">
        <v>0</v>
      </c>
      <c r="T301" s="148">
        <f t="shared" si="3"/>
        <v>0</v>
      </c>
      <c r="AR301" s="149" t="s">
        <v>191</v>
      </c>
      <c r="AT301" s="149" t="s">
        <v>186</v>
      </c>
      <c r="AU301" s="149" t="s">
        <v>20</v>
      </c>
      <c r="AY301" s="18" t="s">
        <v>184</v>
      </c>
      <c r="BE301" s="150">
        <f t="shared" si="4"/>
        <v>32070.720000000001</v>
      </c>
      <c r="BF301" s="150">
        <f t="shared" si="5"/>
        <v>0</v>
      </c>
      <c r="BG301" s="150">
        <f t="shared" si="6"/>
        <v>0</v>
      </c>
      <c r="BH301" s="150">
        <f t="shared" si="7"/>
        <v>0</v>
      </c>
      <c r="BI301" s="150">
        <f t="shared" si="8"/>
        <v>0</v>
      </c>
      <c r="BJ301" s="18" t="s">
        <v>88</v>
      </c>
      <c r="BK301" s="150">
        <f t="shared" si="9"/>
        <v>32070.720000000001</v>
      </c>
      <c r="BL301" s="18" t="s">
        <v>191</v>
      </c>
      <c r="BM301" s="149" t="s">
        <v>1069</v>
      </c>
    </row>
    <row r="302" spans="2:65" s="1" customFormat="1" ht="16.5" customHeight="1" x14ac:dyDescent="0.3">
      <c r="B302" s="33"/>
      <c r="C302" s="172" t="s">
        <v>1070</v>
      </c>
      <c r="D302" s="172" t="s">
        <v>271</v>
      </c>
      <c r="E302" s="173" t="s">
        <v>1071</v>
      </c>
      <c r="F302" s="174" t="s">
        <v>1072</v>
      </c>
      <c r="G302" s="175" t="s">
        <v>557</v>
      </c>
      <c r="H302" s="176">
        <v>6</v>
      </c>
      <c r="I302" s="177">
        <v>1156.97</v>
      </c>
      <c r="J302" s="178">
        <f t="shared" si="0"/>
        <v>6941.82</v>
      </c>
      <c r="K302" s="174" t="s">
        <v>190</v>
      </c>
      <c r="L302" s="179"/>
      <c r="M302" s="180" t="s">
        <v>1</v>
      </c>
      <c r="N302" s="181" t="s">
        <v>47</v>
      </c>
      <c r="O302" s="147">
        <v>0</v>
      </c>
      <c r="P302" s="147">
        <f t="shared" si="1"/>
        <v>0</v>
      </c>
      <c r="Q302" s="147">
        <v>3.0000000000000001E-3</v>
      </c>
      <c r="R302" s="147">
        <f t="shared" si="2"/>
        <v>1.8000000000000002E-2</v>
      </c>
      <c r="S302" s="147">
        <v>0</v>
      </c>
      <c r="T302" s="148">
        <f t="shared" si="3"/>
        <v>0</v>
      </c>
      <c r="AR302" s="149" t="s">
        <v>239</v>
      </c>
      <c r="AT302" s="149" t="s">
        <v>271</v>
      </c>
      <c r="AU302" s="149" t="s">
        <v>20</v>
      </c>
      <c r="AY302" s="18" t="s">
        <v>184</v>
      </c>
      <c r="BE302" s="150">
        <f t="shared" si="4"/>
        <v>6941.82</v>
      </c>
      <c r="BF302" s="150">
        <f t="shared" si="5"/>
        <v>0</v>
      </c>
      <c r="BG302" s="150">
        <f t="shared" si="6"/>
        <v>0</v>
      </c>
      <c r="BH302" s="150">
        <f t="shared" si="7"/>
        <v>0</v>
      </c>
      <c r="BI302" s="150">
        <f t="shared" si="8"/>
        <v>0</v>
      </c>
      <c r="BJ302" s="18" t="s">
        <v>88</v>
      </c>
      <c r="BK302" s="150">
        <f t="shared" si="9"/>
        <v>6941.82</v>
      </c>
      <c r="BL302" s="18" t="s">
        <v>191</v>
      </c>
      <c r="BM302" s="149" t="s">
        <v>1073</v>
      </c>
    </row>
    <row r="303" spans="2:65" s="1" customFormat="1" ht="16.5" customHeight="1" x14ac:dyDescent="0.3">
      <c r="B303" s="33"/>
      <c r="C303" s="172" t="s">
        <v>1074</v>
      </c>
      <c r="D303" s="172" t="s">
        <v>271</v>
      </c>
      <c r="E303" s="173" t="s">
        <v>1075</v>
      </c>
      <c r="F303" s="174" t="s">
        <v>1076</v>
      </c>
      <c r="G303" s="175" t="s">
        <v>557</v>
      </c>
      <c r="H303" s="176">
        <v>6</v>
      </c>
      <c r="I303" s="177">
        <v>4409.8599999999997</v>
      </c>
      <c r="J303" s="178">
        <f t="shared" si="0"/>
        <v>26459.16</v>
      </c>
      <c r="K303" s="174" t="s">
        <v>190</v>
      </c>
      <c r="L303" s="179"/>
      <c r="M303" s="180" t="s">
        <v>1</v>
      </c>
      <c r="N303" s="181" t="s">
        <v>47</v>
      </c>
      <c r="O303" s="147">
        <v>0</v>
      </c>
      <c r="P303" s="147">
        <f t="shared" si="1"/>
        <v>0</v>
      </c>
      <c r="Q303" s="147">
        <v>7.3999999999999996E-2</v>
      </c>
      <c r="R303" s="147">
        <f t="shared" si="2"/>
        <v>0.44399999999999995</v>
      </c>
      <c r="S303" s="147">
        <v>0</v>
      </c>
      <c r="T303" s="148">
        <f t="shared" si="3"/>
        <v>0</v>
      </c>
      <c r="AR303" s="149" t="s">
        <v>239</v>
      </c>
      <c r="AT303" s="149" t="s">
        <v>271</v>
      </c>
      <c r="AU303" s="149" t="s">
        <v>20</v>
      </c>
      <c r="AY303" s="18" t="s">
        <v>184</v>
      </c>
      <c r="BE303" s="150">
        <f t="shared" si="4"/>
        <v>26459.16</v>
      </c>
      <c r="BF303" s="150">
        <f t="shared" si="5"/>
        <v>0</v>
      </c>
      <c r="BG303" s="150">
        <f t="shared" si="6"/>
        <v>0</v>
      </c>
      <c r="BH303" s="150">
        <f t="shared" si="7"/>
        <v>0</v>
      </c>
      <c r="BI303" s="150">
        <f t="shared" si="8"/>
        <v>0</v>
      </c>
      <c r="BJ303" s="18" t="s">
        <v>88</v>
      </c>
      <c r="BK303" s="150">
        <f t="shared" si="9"/>
        <v>26459.16</v>
      </c>
      <c r="BL303" s="18" t="s">
        <v>191</v>
      </c>
      <c r="BM303" s="149" t="s">
        <v>1077</v>
      </c>
    </row>
    <row r="304" spans="2:65" s="11" customFormat="1" ht="22.9" customHeight="1" x14ac:dyDescent="0.2">
      <c r="B304" s="127"/>
      <c r="D304" s="128" t="s">
        <v>80</v>
      </c>
      <c r="E304" s="136" t="s">
        <v>245</v>
      </c>
      <c r="F304" s="136" t="s">
        <v>304</v>
      </c>
      <c r="I304" s="171"/>
      <c r="J304" s="137">
        <f>BK304</f>
        <v>139821.25999999998</v>
      </c>
      <c r="L304" s="127"/>
      <c r="M304" s="131"/>
      <c r="P304" s="132">
        <f>SUM(P305:P317)</f>
        <v>69.647999999999996</v>
      </c>
      <c r="R304" s="132">
        <f>SUM(R305:R317)</f>
        <v>2.3544444000000002</v>
      </c>
      <c r="T304" s="133">
        <f>SUM(T305:T317)</f>
        <v>2.0160000000000001E-2</v>
      </c>
      <c r="AR304" s="128" t="s">
        <v>88</v>
      </c>
      <c r="AT304" s="134" t="s">
        <v>80</v>
      </c>
      <c r="AU304" s="134" t="s">
        <v>88</v>
      </c>
      <c r="AY304" s="128" t="s">
        <v>184</v>
      </c>
      <c r="BK304" s="135">
        <f>SUM(BK305:BK317)</f>
        <v>139821.25999999998</v>
      </c>
    </row>
    <row r="305" spans="2:65" s="1" customFormat="1" ht="16.5" customHeight="1" x14ac:dyDescent="0.3">
      <c r="B305" s="33"/>
      <c r="C305" s="138" t="s">
        <v>1078</v>
      </c>
      <c r="D305" s="138" t="s">
        <v>186</v>
      </c>
      <c r="E305" s="139" t="s">
        <v>1079</v>
      </c>
      <c r="F305" s="140" t="s">
        <v>1080</v>
      </c>
      <c r="G305" s="141" t="s">
        <v>210</v>
      </c>
      <c r="H305" s="142">
        <v>412.8</v>
      </c>
      <c r="I305" s="143">
        <v>117.71</v>
      </c>
      <c r="J305" s="144">
        <f>ROUND(I305*H305,2)</f>
        <v>48590.69</v>
      </c>
      <c r="K305" s="140" t="s">
        <v>190</v>
      </c>
      <c r="L305" s="33"/>
      <c r="M305" s="145" t="s">
        <v>1</v>
      </c>
      <c r="N305" s="146" t="s">
        <v>47</v>
      </c>
      <c r="O305" s="147">
        <v>0.155</v>
      </c>
      <c r="P305" s="147">
        <f>O305*H305</f>
        <v>63.984000000000002</v>
      </c>
      <c r="Q305" s="147">
        <v>0</v>
      </c>
      <c r="R305" s="147">
        <f>Q305*H305</f>
        <v>0</v>
      </c>
      <c r="S305" s="147">
        <v>0</v>
      </c>
      <c r="T305" s="148">
        <f>S305*H305</f>
        <v>0</v>
      </c>
      <c r="AR305" s="149" t="s">
        <v>191</v>
      </c>
      <c r="AT305" s="149" t="s">
        <v>186</v>
      </c>
      <c r="AU305" s="149" t="s">
        <v>20</v>
      </c>
      <c r="AY305" s="18" t="s">
        <v>184</v>
      </c>
      <c r="BE305" s="150">
        <f>IF(N305="základní",J305,0)</f>
        <v>48590.69</v>
      </c>
      <c r="BF305" s="150">
        <f>IF(N305="snížená",J305,0)</f>
        <v>0</v>
      </c>
      <c r="BG305" s="150">
        <f>IF(N305="zákl. přenesená",J305,0)</f>
        <v>0</v>
      </c>
      <c r="BH305" s="150">
        <f>IF(N305="sníž. přenesená",J305,0)</f>
        <v>0</v>
      </c>
      <c r="BI305" s="150">
        <f>IF(N305="nulová",J305,0)</f>
        <v>0</v>
      </c>
      <c r="BJ305" s="18" t="s">
        <v>88</v>
      </c>
      <c r="BK305" s="150">
        <f>ROUND(I305*H305,2)</f>
        <v>48590.69</v>
      </c>
      <c r="BL305" s="18" t="s">
        <v>191</v>
      </c>
      <c r="BM305" s="149" t="s">
        <v>1081</v>
      </c>
    </row>
    <row r="306" spans="2:65" s="1" customFormat="1" x14ac:dyDescent="0.3">
      <c r="B306" s="33"/>
      <c r="D306" s="151" t="s">
        <v>193</v>
      </c>
      <c r="F306" s="152" t="s">
        <v>1082</v>
      </c>
      <c r="I306" s="153"/>
      <c r="L306" s="33"/>
      <c r="M306" s="154"/>
      <c r="T306" s="57"/>
      <c r="AT306" s="18" t="s">
        <v>193</v>
      </c>
      <c r="AU306" s="18" t="s">
        <v>20</v>
      </c>
    </row>
    <row r="307" spans="2:65" s="12" customFormat="1" ht="11.25" x14ac:dyDescent="0.3">
      <c r="B307" s="155"/>
      <c r="D307" s="156" t="s">
        <v>195</v>
      </c>
      <c r="E307" s="157" t="s">
        <v>1</v>
      </c>
      <c r="F307" s="158" t="s">
        <v>1083</v>
      </c>
      <c r="H307" s="159">
        <v>396.8</v>
      </c>
      <c r="I307" s="160"/>
      <c r="L307" s="155"/>
      <c r="M307" s="161"/>
      <c r="T307" s="162"/>
      <c r="AT307" s="157" t="s">
        <v>195</v>
      </c>
      <c r="AU307" s="157" t="s">
        <v>20</v>
      </c>
      <c r="AV307" s="12" t="s">
        <v>20</v>
      </c>
      <c r="AW307" s="12" t="s">
        <v>37</v>
      </c>
      <c r="AX307" s="12" t="s">
        <v>81</v>
      </c>
      <c r="AY307" s="157" t="s">
        <v>184</v>
      </c>
    </row>
    <row r="308" spans="2:65" s="12" customFormat="1" ht="11.25" x14ac:dyDescent="0.3">
      <c r="B308" s="155"/>
      <c r="D308" s="156" t="s">
        <v>195</v>
      </c>
      <c r="E308" s="157" t="s">
        <v>1</v>
      </c>
      <c r="F308" s="158" t="s">
        <v>1084</v>
      </c>
      <c r="H308" s="159">
        <v>16</v>
      </c>
      <c r="I308" s="160"/>
      <c r="L308" s="155"/>
      <c r="M308" s="161"/>
      <c r="T308" s="162"/>
      <c r="AT308" s="157" t="s">
        <v>195</v>
      </c>
      <c r="AU308" s="157" t="s">
        <v>20</v>
      </c>
      <c r="AV308" s="12" t="s">
        <v>20</v>
      </c>
      <c r="AW308" s="12" t="s">
        <v>37</v>
      </c>
      <c r="AX308" s="12" t="s">
        <v>81</v>
      </c>
      <c r="AY308" s="157" t="s">
        <v>184</v>
      </c>
    </row>
    <row r="309" spans="2:65" s="13" customFormat="1" ht="11.25" x14ac:dyDescent="0.3">
      <c r="B309" s="163"/>
      <c r="D309" s="156" t="s">
        <v>195</v>
      </c>
      <c r="E309" s="164" t="s">
        <v>1</v>
      </c>
      <c r="F309" s="165" t="s">
        <v>230</v>
      </c>
      <c r="H309" s="166">
        <v>412.8</v>
      </c>
      <c r="I309" s="167"/>
      <c r="L309" s="163"/>
      <c r="M309" s="168"/>
      <c r="T309" s="169"/>
      <c r="AT309" s="164" t="s">
        <v>195</v>
      </c>
      <c r="AU309" s="164" t="s">
        <v>20</v>
      </c>
      <c r="AV309" s="13" t="s">
        <v>191</v>
      </c>
      <c r="AW309" s="13" t="s">
        <v>37</v>
      </c>
      <c r="AX309" s="13" t="s">
        <v>88</v>
      </c>
      <c r="AY309" s="164" t="s">
        <v>184</v>
      </c>
    </row>
    <row r="310" spans="2:65" s="1" customFormat="1" ht="21.75" customHeight="1" x14ac:dyDescent="0.3">
      <c r="B310" s="33"/>
      <c r="C310" s="138" t="s">
        <v>1085</v>
      </c>
      <c r="D310" s="138" t="s">
        <v>186</v>
      </c>
      <c r="E310" s="139" t="s">
        <v>1086</v>
      </c>
      <c r="F310" s="140" t="s">
        <v>1087</v>
      </c>
      <c r="G310" s="141" t="s">
        <v>557</v>
      </c>
      <c r="H310" s="142">
        <v>6</v>
      </c>
      <c r="I310" s="143">
        <v>2672.56</v>
      </c>
      <c r="J310" s="144">
        <f>ROUND(I310*H310,2)</f>
        <v>16035.36</v>
      </c>
      <c r="K310" s="140" t="s">
        <v>190</v>
      </c>
      <c r="L310" s="33"/>
      <c r="M310" s="145" t="s">
        <v>1</v>
      </c>
      <c r="N310" s="146" t="s">
        <v>47</v>
      </c>
      <c r="O310" s="147">
        <v>0.78800000000000003</v>
      </c>
      <c r="P310" s="147">
        <f>O310*H310</f>
        <v>4.7279999999999998</v>
      </c>
      <c r="Q310" s="147">
        <v>0.37164000000000003</v>
      </c>
      <c r="R310" s="147">
        <f>Q310*H310</f>
        <v>2.2298400000000003</v>
      </c>
      <c r="S310" s="147">
        <v>0</v>
      </c>
      <c r="T310" s="148">
        <f>S310*H310</f>
        <v>0</v>
      </c>
      <c r="AR310" s="149" t="s">
        <v>191</v>
      </c>
      <c r="AT310" s="149" t="s">
        <v>186</v>
      </c>
      <c r="AU310" s="149" t="s">
        <v>20</v>
      </c>
      <c r="AY310" s="18" t="s">
        <v>184</v>
      </c>
      <c r="BE310" s="150">
        <f>IF(N310="základní",J310,0)</f>
        <v>16035.36</v>
      </c>
      <c r="BF310" s="150">
        <f>IF(N310="snížená",J310,0)</f>
        <v>0</v>
      </c>
      <c r="BG310" s="150">
        <f>IF(N310="zákl. přenesená",J310,0)</f>
        <v>0</v>
      </c>
      <c r="BH310" s="150">
        <f>IF(N310="sníž. přenesená",J310,0)</f>
        <v>0</v>
      </c>
      <c r="BI310" s="150">
        <f>IF(N310="nulová",J310,0)</f>
        <v>0</v>
      </c>
      <c r="BJ310" s="18" t="s">
        <v>88</v>
      </c>
      <c r="BK310" s="150">
        <f>ROUND(I310*H310,2)</f>
        <v>16035.36</v>
      </c>
      <c r="BL310" s="18" t="s">
        <v>191</v>
      </c>
      <c r="BM310" s="149" t="s">
        <v>1088</v>
      </c>
    </row>
    <row r="311" spans="2:65" s="1" customFormat="1" x14ac:dyDescent="0.3">
      <c r="B311" s="33"/>
      <c r="D311" s="151" t="s">
        <v>193</v>
      </c>
      <c r="F311" s="152" t="s">
        <v>1089</v>
      </c>
      <c r="I311" s="153"/>
      <c r="L311" s="33"/>
      <c r="M311" s="154"/>
      <c r="T311" s="57"/>
      <c r="AT311" s="18" t="s">
        <v>193</v>
      </c>
      <c r="AU311" s="18" t="s">
        <v>20</v>
      </c>
    </row>
    <row r="312" spans="2:65" s="1" customFormat="1" ht="24.2" customHeight="1" x14ac:dyDescent="0.3">
      <c r="B312" s="33"/>
      <c r="C312" s="172" t="s">
        <v>1090</v>
      </c>
      <c r="D312" s="172" t="s">
        <v>271</v>
      </c>
      <c r="E312" s="173" t="s">
        <v>1091</v>
      </c>
      <c r="F312" s="174" t="s">
        <v>1092</v>
      </c>
      <c r="G312" s="175" t="s">
        <v>557</v>
      </c>
      <c r="H312" s="176">
        <v>6</v>
      </c>
      <c r="I312" s="177">
        <v>9607.51</v>
      </c>
      <c r="J312" s="178">
        <f>ROUND(I312*H312,2)</f>
        <v>57645.06</v>
      </c>
      <c r="K312" s="174" t="s">
        <v>190</v>
      </c>
      <c r="L312" s="179"/>
      <c r="M312" s="180" t="s">
        <v>1</v>
      </c>
      <c r="N312" s="181" t="s">
        <v>47</v>
      </c>
      <c r="O312" s="147">
        <v>0</v>
      </c>
      <c r="P312" s="147">
        <f>O312*H312</f>
        <v>0</v>
      </c>
      <c r="Q312" s="147">
        <v>3.7000000000000002E-3</v>
      </c>
      <c r="R312" s="147">
        <f>Q312*H312</f>
        <v>2.2200000000000001E-2</v>
      </c>
      <c r="S312" s="147">
        <v>0</v>
      </c>
      <c r="T312" s="148">
        <f>S312*H312</f>
        <v>0</v>
      </c>
      <c r="AR312" s="149" t="s">
        <v>239</v>
      </c>
      <c r="AT312" s="149" t="s">
        <v>271</v>
      </c>
      <c r="AU312" s="149" t="s">
        <v>20</v>
      </c>
      <c r="AY312" s="18" t="s">
        <v>184</v>
      </c>
      <c r="BE312" s="150">
        <f>IF(N312="základní",J312,0)</f>
        <v>57645.06</v>
      </c>
      <c r="BF312" s="150">
        <f>IF(N312="snížená",J312,0)</f>
        <v>0</v>
      </c>
      <c r="BG312" s="150">
        <f>IF(N312="zákl. přenesená",J312,0)</f>
        <v>0</v>
      </c>
      <c r="BH312" s="150">
        <f>IF(N312="sníž. přenesená",J312,0)</f>
        <v>0</v>
      </c>
      <c r="BI312" s="150">
        <f>IF(N312="nulová",J312,0)</f>
        <v>0</v>
      </c>
      <c r="BJ312" s="18" t="s">
        <v>88</v>
      </c>
      <c r="BK312" s="150">
        <f>ROUND(I312*H312,2)</f>
        <v>57645.06</v>
      </c>
      <c r="BL312" s="18" t="s">
        <v>191</v>
      </c>
      <c r="BM312" s="149" t="s">
        <v>1093</v>
      </c>
    </row>
    <row r="313" spans="2:65" s="1" customFormat="1" ht="16.5" customHeight="1" x14ac:dyDescent="0.3">
      <c r="B313" s="33"/>
      <c r="C313" s="172" t="s">
        <v>1094</v>
      </c>
      <c r="D313" s="172" t="s">
        <v>271</v>
      </c>
      <c r="E313" s="173" t="s">
        <v>1095</v>
      </c>
      <c r="F313" s="174" t="s">
        <v>1096</v>
      </c>
      <c r="G313" s="175" t="s">
        <v>210</v>
      </c>
      <c r="H313" s="176">
        <v>6</v>
      </c>
      <c r="I313" s="177">
        <v>2430.2199999999998</v>
      </c>
      <c r="J313" s="178">
        <f>ROUND(I313*H313,2)</f>
        <v>14581.32</v>
      </c>
      <c r="K313" s="174" t="s">
        <v>190</v>
      </c>
      <c r="L313" s="179"/>
      <c r="M313" s="180" t="s">
        <v>1</v>
      </c>
      <c r="N313" s="181" t="s">
        <v>47</v>
      </c>
      <c r="O313" s="147">
        <v>0</v>
      </c>
      <c r="P313" s="147">
        <f>O313*H313</f>
        <v>0</v>
      </c>
      <c r="Q313" s="147">
        <v>1.6899999999999998E-2</v>
      </c>
      <c r="R313" s="147">
        <f>Q313*H313</f>
        <v>0.10139999999999999</v>
      </c>
      <c r="S313" s="147">
        <v>0</v>
      </c>
      <c r="T313" s="148">
        <f>S313*H313</f>
        <v>0</v>
      </c>
      <c r="AR313" s="149" t="s">
        <v>239</v>
      </c>
      <c r="AT313" s="149" t="s">
        <v>271</v>
      </c>
      <c r="AU313" s="149" t="s">
        <v>20</v>
      </c>
      <c r="AY313" s="18" t="s">
        <v>184</v>
      </c>
      <c r="BE313" s="150">
        <f>IF(N313="základní",J313,0)</f>
        <v>14581.32</v>
      </c>
      <c r="BF313" s="150">
        <f>IF(N313="snížená",J313,0)</f>
        <v>0</v>
      </c>
      <c r="BG313" s="150">
        <f>IF(N313="zákl. přenesená",J313,0)</f>
        <v>0</v>
      </c>
      <c r="BH313" s="150">
        <f>IF(N313="sníž. přenesená",J313,0)</f>
        <v>0</v>
      </c>
      <c r="BI313" s="150">
        <f>IF(N313="nulová",J313,0)</f>
        <v>0</v>
      </c>
      <c r="BJ313" s="18" t="s">
        <v>88</v>
      </c>
      <c r="BK313" s="150">
        <f>ROUND(I313*H313,2)</f>
        <v>14581.32</v>
      </c>
      <c r="BL313" s="18" t="s">
        <v>191</v>
      </c>
      <c r="BM313" s="149" t="s">
        <v>1097</v>
      </c>
    </row>
    <row r="314" spans="2:65" s="1" customFormat="1" ht="16.5" customHeight="1" x14ac:dyDescent="0.3">
      <c r="B314" s="33"/>
      <c r="C314" s="138" t="s">
        <v>1098</v>
      </c>
      <c r="D314" s="138" t="s">
        <v>186</v>
      </c>
      <c r="E314" s="139" t="s">
        <v>1099</v>
      </c>
      <c r="F314" s="140" t="s">
        <v>1100</v>
      </c>
      <c r="G314" s="141" t="s">
        <v>210</v>
      </c>
      <c r="H314" s="142">
        <v>0.36</v>
      </c>
      <c r="I314" s="143">
        <v>8246.75</v>
      </c>
      <c r="J314" s="144">
        <f>ROUND(I314*H314,2)</f>
        <v>2968.83</v>
      </c>
      <c r="K314" s="140" t="s">
        <v>658</v>
      </c>
      <c r="L314" s="33"/>
      <c r="M314" s="145" t="s">
        <v>1</v>
      </c>
      <c r="N314" s="146" t="s">
        <v>47</v>
      </c>
      <c r="O314" s="147">
        <v>2.6</v>
      </c>
      <c r="P314" s="147">
        <f>O314*H314</f>
        <v>0.93599999999999994</v>
      </c>
      <c r="Q314" s="147">
        <v>2.7899999999999999E-3</v>
      </c>
      <c r="R314" s="147">
        <f>Q314*H314</f>
        <v>1.0043999999999999E-3</v>
      </c>
      <c r="S314" s="147">
        <v>5.6000000000000001E-2</v>
      </c>
      <c r="T314" s="148">
        <f>S314*H314</f>
        <v>2.0160000000000001E-2</v>
      </c>
      <c r="AR314" s="149" t="s">
        <v>191</v>
      </c>
      <c r="AT314" s="149" t="s">
        <v>186</v>
      </c>
      <c r="AU314" s="149" t="s">
        <v>20</v>
      </c>
      <c r="AY314" s="18" t="s">
        <v>184</v>
      </c>
      <c r="BE314" s="150">
        <f>IF(N314="základní",J314,0)</f>
        <v>2968.83</v>
      </c>
      <c r="BF314" s="150">
        <f>IF(N314="snížená",J314,0)</f>
        <v>0</v>
      </c>
      <c r="BG314" s="150">
        <f>IF(N314="zákl. přenesená",J314,0)</f>
        <v>0</v>
      </c>
      <c r="BH314" s="150">
        <f>IF(N314="sníž. přenesená",J314,0)</f>
        <v>0</v>
      </c>
      <c r="BI314" s="150">
        <f>IF(N314="nulová",J314,0)</f>
        <v>0</v>
      </c>
      <c r="BJ314" s="18" t="s">
        <v>88</v>
      </c>
      <c r="BK314" s="150">
        <f>ROUND(I314*H314,2)</f>
        <v>2968.83</v>
      </c>
      <c r="BL314" s="18" t="s">
        <v>191</v>
      </c>
      <c r="BM314" s="149" t="s">
        <v>1101</v>
      </c>
    </row>
    <row r="315" spans="2:65" s="12" customFormat="1" ht="11.25" x14ac:dyDescent="0.3">
      <c r="B315" s="155"/>
      <c r="D315" s="156" t="s">
        <v>195</v>
      </c>
      <c r="E315" s="157" t="s">
        <v>1</v>
      </c>
      <c r="F315" s="158" t="s">
        <v>1102</v>
      </c>
      <c r="H315" s="159">
        <v>0.24</v>
      </c>
      <c r="I315" s="160"/>
      <c r="L315" s="155"/>
      <c r="M315" s="161"/>
      <c r="T315" s="162"/>
      <c r="AT315" s="157" t="s">
        <v>195</v>
      </c>
      <c r="AU315" s="157" t="s">
        <v>20</v>
      </c>
      <c r="AV315" s="12" t="s">
        <v>20</v>
      </c>
      <c r="AW315" s="12" t="s">
        <v>37</v>
      </c>
      <c r="AX315" s="12" t="s">
        <v>81</v>
      </c>
      <c r="AY315" s="157" t="s">
        <v>184</v>
      </c>
    </row>
    <row r="316" spans="2:65" s="12" customFormat="1" ht="11.25" x14ac:dyDescent="0.3">
      <c r="B316" s="155"/>
      <c r="D316" s="156" t="s">
        <v>195</v>
      </c>
      <c r="E316" s="157" t="s">
        <v>1</v>
      </c>
      <c r="F316" s="158" t="s">
        <v>1103</v>
      </c>
      <c r="H316" s="159">
        <v>0.12</v>
      </c>
      <c r="I316" s="160"/>
      <c r="L316" s="155"/>
      <c r="M316" s="161"/>
      <c r="T316" s="162"/>
      <c r="AT316" s="157" t="s">
        <v>195</v>
      </c>
      <c r="AU316" s="157" t="s">
        <v>20</v>
      </c>
      <c r="AV316" s="12" t="s">
        <v>20</v>
      </c>
      <c r="AW316" s="12" t="s">
        <v>37</v>
      </c>
      <c r="AX316" s="12" t="s">
        <v>81</v>
      </c>
      <c r="AY316" s="157" t="s">
        <v>184</v>
      </c>
    </row>
    <row r="317" spans="2:65" s="13" customFormat="1" ht="11.25" x14ac:dyDescent="0.3">
      <c r="B317" s="163"/>
      <c r="D317" s="156" t="s">
        <v>195</v>
      </c>
      <c r="E317" s="164" t="s">
        <v>1</v>
      </c>
      <c r="F317" s="165" t="s">
        <v>230</v>
      </c>
      <c r="H317" s="166">
        <v>0.36</v>
      </c>
      <c r="I317" s="167"/>
      <c r="L317" s="163"/>
      <c r="M317" s="168"/>
      <c r="T317" s="169"/>
      <c r="AT317" s="164" t="s">
        <v>195</v>
      </c>
      <c r="AU317" s="164" t="s">
        <v>20</v>
      </c>
      <c r="AV317" s="13" t="s">
        <v>191</v>
      </c>
      <c r="AW317" s="13" t="s">
        <v>37</v>
      </c>
      <c r="AX317" s="13" t="s">
        <v>88</v>
      </c>
      <c r="AY317" s="164" t="s">
        <v>184</v>
      </c>
    </row>
    <row r="318" spans="2:65" s="11" customFormat="1" ht="22.9" customHeight="1" x14ac:dyDescent="0.2">
      <c r="B318" s="127"/>
      <c r="D318" s="128" t="s">
        <v>80</v>
      </c>
      <c r="E318" s="136" t="s">
        <v>358</v>
      </c>
      <c r="F318" s="136" t="s">
        <v>359</v>
      </c>
      <c r="I318" s="171"/>
      <c r="J318" s="137">
        <f>BK318</f>
        <v>134263.65</v>
      </c>
      <c r="L318" s="127"/>
      <c r="M318" s="131"/>
      <c r="P318" s="132">
        <f>SUM(P319:P332)</f>
        <v>439.48651099999995</v>
      </c>
      <c r="R318" s="132">
        <f>SUM(R319:R332)</f>
        <v>0</v>
      </c>
      <c r="T318" s="133">
        <f>SUM(T319:T332)</f>
        <v>0</v>
      </c>
      <c r="AR318" s="128" t="s">
        <v>88</v>
      </c>
      <c r="AT318" s="134" t="s">
        <v>80</v>
      </c>
      <c r="AU318" s="134" t="s">
        <v>88</v>
      </c>
      <c r="AY318" s="128" t="s">
        <v>184</v>
      </c>
      <c r="BK318" s="135">
        <f>SUM(BK319:BK332)</f>
        <v>134263.65</v>
      </c>
    </row>
    <row r="319" spans="2:65" s="1" customFormat="1" ht="16.5" customHeight="1" x14ac:dyDescent="0.3">
      <c r="B319" s="33"/>
      <c r="C319" s="138" t="s">
        <v>1104</v>
      </c>
      <c r="D319" s="138" t="s">
        <v>186</v>
      </c>
      <c r="E319" s="139" t="s">
        <v>361</v>
      </c>
      <c r="F319" s="140" t="s">
        <v>362</v>
      </c>
      <c r="G319" s="141" t="s">
        <v>248</v>
      </c>
      <c r="H319" s="142">
        <v>447.16899999999998</v>
      </c>
      <c r="I319" s="143">
        <v>178.35</v>
      </c>
      <c r="J319" s="144">
        <f>ROUND(I319*H319,2)</f>
        <v>79752.59</v>
      </c>
      <c r="K319" s="140" t="s">
        <v>658</v>
      </c>
      <c r="L319" s="33"/>
      <c r="M319" s="145" t="s">
        <v>1</v>
      </c>
      <c r="N319" s="146" t="s">
        <v>47</v>
      </c>
      <c r="O319" s="147">
        <v>0.83499999999999996</v>
      </c>
      <c r="P319" s="147">
        <f>O319*H319</f>
        <v>373.38611499999996</v>
      </c>
      <c r="Q319" s="147">
        <v>0</v>
      </c>
      <c r="R319" s="147">
        <f>Q319*H319</f>
        <v>0</v>
      </c>
      <c r="S319" s="147">
        <v>0</v>
      </c>
      <c r="T319" s="148">
        <f>S319*H319</f>
        <v>0</v>
      </c>
      <c r="AR319" s="149" t="s">
        <v>191</v>
      </c>
      <c r="AT319" s="149" t="s">
        <v>186</v>
      </c>
      <c r="AU319" s="149" t="s">
        <v>20</v>
      </c>
      <c r="AY319" s="18" t="s">
        <v>184</v>
      </c>
      <c r="BE319" s="150">
        <f>IF(N319="základní",J319,0)</f>
        <v>79752.59</v>
      </c>
      <c r="BF319" s="150">
        <f>IF(N319="snížená",J319,0)</f>
        <v>0</v>
      </c>
      <c r="BG319" s="150">
        <f>IF(N319="zákl. přenesená",J319,0)</f>
        <v>0</v>
      </c>
      <c r="BH319" s="150">
        <f>IF(N319="sníž. přenesená",J319,0)</f>
        <v>0</v>
      </c>
      <c r="BI319" s="150">
        <f>IF(N319="nulová",J319,0)</f>
        <v>0</v>
      </c>
      <c r="BJ319" s="18" t="s">
        <v>88</v>
      </c>
      <c r="BK319" s="150">
        <f>ROUND(I319*H319,2)</f>
        <v>79752.59</v>
      </c>
      <c r="BL319" s="18" t="s">
        <v>191</v>
      </c>
      <c r="BM319" s="149" t="s">
        <v>1105</v>
      </c>
    </row>
    <row r="320" spans="2:65" s="12" customFormat="1" ht="11.25" x14ac:dyDescent="0.3">
      <c r="B320" s="155"/>
      <c r="D320" s="156" t="s">
        <v>195</v>
      </c>
      <c r="E320" s="157" t="s">
        <v>1</v>
      </c>
      <c r="F320" s="158" t="s">
        <v>1106</v>
      </c>
      <c r="H320" s="159">
        <v>351.08199999999999</v>
      </c>
      <c r="I320" s="160"/>
      <c r="L320" s="155"/>
      <c r="M320" s="161"/>
      <c r="T320" s="162"/>
      <c r="AT320" s="157" t="s">
        <v>195</v>
      </c>
      <c r="AU320" s="157" t="s">
        <v>20</v>
      </c>
      <c r="AV320" s="12" t="s">
        <v>20</v>
      </c>
      <c r="AW320" s="12" t="s">
        <v>37</v>
      </c>
      <c r="AX320" s="12" t="s">
        <v>81</v>
      </c>
      <c r="AY320" s="157" t="s">
        <v>184</v>
      </c>
    </row>
    <row r="321" spans="2:65" s="12" customFormat="1" ht="11.25" x14ac:dyDescent="0.3">
      <c r="B321" s="155"/>
      <c r="D321" s="156" t="s">
        <v>195</v>
      </c>
      <c r="E321" s="157" t="s">
        <v>1</v>
      </c>
      <c r="F321" s="158" t="s">
        <v>1107</v>
      </c>
      <c r="H321" s="159">
        <v>94.221999999999994</v>
      </c>
      <c r="I321" s="160"/>
      <c r="L321" s="155"/>
      <c r="M321" s="161"/>
      <c r="T321" s="162"/>
      <c r="AT321" s="157" t="s">
        <v>195</v>
      </c>
      <c r="AU321" s="157" t="s">
        <v>20</v>
      </c>
      <c r="AV321" s="12" t="s">
        <v>20</v>
      </c>
      <c r="AW321" s="12" t="s">
        <v>37</v>
      </c>
      <c r="AX321" s="12" t="s">
        <v>81</v>
      </c>
      <c r="AY321" s="157" t="s">
        <v>184</v>
      </c>
    </row>
    <row r="322" spans="2:65" s="12" customFormat="1" ht="11.25" x14ac:dyDescent="0.3">
      <c r="B322" s="155"/>
      <c r="D322" s="156" t="s">
        <v>195</v>
      </c>
      <c r="E322" s="157" t="s">
        <v>1</v>
      </c>
      <c r="F322" s="158" t="s">
        <v>1108</v>
      </c>
      <c r="H322" s="159">
        <v>1.865</v>
      </c>
      <c r="I322" s="160"/>
      <c r="L322" s="155"/>
      <c r="M322" s="161"/>
      <c r="T322" s="162"/>
      <c r="AT322" s="157" t="s">
        <v>195</v>
      </c>
      <c r="AU322" s="157" t="s">
        <v>20</v>
      </c>
      <c r="AV322" s="12" t="s">
        <v>20</v>
      </c>
      <c r="AW322" s="12" t="s">
        <v>37</v>
      </c>
      <c r="AX322" s="12" t="s">
        <v>81</v>
      </c>
      <c r="AY322" s="157" t="s">
        <v>184</v>
      </c>
    </row>
    <row r="323" spans="2:65" s="13" customFormat="1" ht="11.25" x14ac:dyDescent="0.3">
      <c r="B323" s="163"/>
      <c r="D323" s="156" t="s">
        <v>195</v>
      </c>
      <c r="E323" s="164" t="s">
        <v>1</v>
      </c>
      <c r="F323" s="165" t="s">
        <v>230</v>
      </c>
      <c r="H323" s="166">
        <v>447.16899999999998</v>
      </c>
      <c r="I323" s="167"/>
      <c r="L323" s="163"/>
      <c r="M323" s="168"/>
      <c r="T323" s="169"/>
      <c r="AT323" s="164" t="s">
        <v>195</v>
      </c>
      <c r="AU323" s="164" t="s">
        <v>20</v>
      </c>
      <c r="AV323" s="13" t="s">
        <v>191</v>
      </c>
      <c r="AW323" s="13" t="s">
        <v>37</v>
      </c>
      <c r="AX323" s="13" t="s">
        <v>88</v>
      </c>
      <c r="AY323" s="164" t="s">
        <v>184</v>
      </c>
    </row>
    <row r="324" spans="2:65" s="1" customFormat="1" ht="16.5" customHeight="1" x14ac:dyDescent="0.3">
      <c r="B324" s="33"/>
      <c r="C324" s="138" t="s">
        <v>1109</v>
      </c>
      <c r="D324" s="138" t="s">
        <v>186</v>
      </c>
      <c r="E324" s="139" t="s">
        <v>636</v>
      </c>
      <c r="F324" s="140" t="s">
        <v>637</v>
      </c>
      <c r="G324" s="141" t="s">
        <v>248</v>
      </c>
      <c r="H324" s="142">
        <v>24.245000000000001</v>
      </c>
      <c r="I324" s="143">
        <v>17.12</v>
      </c>
      <c r="J324" s="144">
        <f>ROUND(I324*H324,2)</f>
        <v>415.07</v>
      </c>
      <c r="K324" s="140" t="s">
        <v>1</v>
      </c>
      <c r="L324" s="33"/>
      <c r="M324" s="145" t="s">
        <v>1</v>
      </c>
      <c r="N324" s="146" t="s">
        <v>47</v>
      </c>
      <c r="O324" s="147">
        <v>4.0000000000000001E-3</v>
      </c>
      <c r="P324" s="147">
        <f>O324*H324</f>
        <v>9.6980000000000011E-2</v>
      </c>
      <c r="Q324" s="147">
        <v>0</v>
      </c>
      <c r="R324" s="147">
        <f>Q324*H324</f>
        <v>0</v>
      </c>
      <c r="S324" s="147">
        <v>0</v>
      </c>
      <c r="T324" s="148">
        <f>S324*H324</f>
        <v>0</v>
      </c>
      <c r="AR324" s="149" t="s">
        <v>191</v>
      </c>
      <c r="AT324" s="149" t="s">
        <v>186</v>
      </c>
      <c r="AU324" s="149" t="s">
        <v>20</v>
      </c>
      <c r="AY324" s="18" t="s">
        <v>184</v>
      </c>
      <c r="BE324" s="150">
        <f>IF(N324="základní",J324,0)</f>
        <v>415.07</v>
      </c>
      <c r="BF324" s="150">
        <f>IF(N324="snížená",J324,0)</f>
        <v>0</v>
      </c>
      <c r="BG324" s="150">
        <f>IF(N324="zákl. přenesená",J324,0)</f>
        <v>0</v>
      </c>
      <c r="BH324" s="150">
        <f>IF(N324="sníž. přenesená",J324,0)</f>
        <v>0</v>
      </c>
      <c r="BI324" s="150">
        <f>IF(N324="nulová",J324,0)</f>
        <v>0</v>
      </c>
      <c r="BJ324" s="18" t="s">
        <v>88</v>
      </c>
      <c r="BK324" s="150">
        <f>ROUND(I324*H324,2)</f>
        <v>415.07</v>
      </c>
      <c r="BL324" s="18" t="s">
        <v>191</v>
      </c>
      <c r="BM324" s="149" t="s">
        <v>1110</v>
      </c>
    </row>
    <row r="325" spans="2:65" s="1" customFormat="1" ht="19.5" x14ac:dyDescent="0.3">
      <c r="B325" s="33"/>
      <c r="D325" s="156" t="s">
        <v>236</v>
      </c>
      <c r="F325" s="170" t="s">
        <v>1111</v>
      </c>
      <c r="I325" s="153"/>
      <c r="L325" s="33"/>
      <c r="M325" s="154"/>
      <c r="T325" s="57"/>
      <c r="AT325" s="18" t="s">
        <v>236</v>
      </c>
      <c r="AU325" s="18" t="s">
        <v>20</v>
      </c>
    </row>
    <row r="326" spans="2:65" s="12" customFormat="1" ht="11.25" x14ac:dyDescent="0.3">
      <c r="B326" s="155"/>
      <c r="D326" s="156" t="s">
        <v>195</v>
      </c>
      <c r="E326" s="157" t="s">
        <v>1</v>
      </c>
      <c r="F326" s="158" t="s">
        <v>1108</v>
      </c>
      <c r="H326" s="159">
        <v>1.865</v>
      </c>
      <c r="I326" s="160"/>
      <c r="L326" s="155"/>
      <c r="M326" s="161"/>
      <c r="T326" s="162"/>
      <c r="AT326" s="157" t="s">
        <v>195</v>
      </c>
      <c r="AU326" s="157" t="s">
        <v>20</v>
      </c>
      <c r="AV326" s="12" t="s">
        <v>20</v>
      </c>
      <c r="AW326" s="12" t="s">
        <v>37</v>
      </c>
      <c r="AX326" s="12" t="s">
        <v>81</v>
      </c>
      <c r="AY326" s="157" t="s">
        <v>184</v>
      </c>
    </row>
    <row r="327" spans="2:65" s="12" customFormat="1" ht="11.25" x14ac:dyDescent="0.3">
      <c r="B327" s="155"/>
      <c r="D327" s="156" t="s">
        <v>195</v>
      </c>
      <c r="E327" s="157" t="s">
        <v>1</v>
      </c>
      <c r="F327" s="158" t="s">
        <v>1112</v>
      </c>
      <c r="H327" s="159">
        <v>24.245000000000001</v>
      </c>
      <c r="I327" s="160"/>
      <c r="L327" s="155"/>
      <c r="M327" s="161"/>
      <c r="T327" s="162"/>
      <c r="AT327" s="157" t="s">
        <v>195</v>
      </c>
      <c r="AU327" s="157" t="s">
        <v>20</v>
      </c>
      <c r="AV327" s="12" t="s">
        <v>20</v>
      </c>
      <c r="AW327" s="12" t="s">
        <v>37</v>
      </c>
      <c r="AX327" s="12" t="s">
        <v>88</v>
      </c>
      <c r="AY327" s="157" t="s">
        <v>184</v>
      </c>
    </row>
    <row r="328" spans="2:65" s="1" customFormat="1" ht="16.5" customHeight="1" x14ac:dyDescent="0.3">
      <c r="B328" s="33"/>
      <c r="C328" s="138" t="s">
        <v>1113</v>
      </c>
      <c r="D328" s="138" t="s">
        <v>186</v>
      </c>
      <c r="E328" s="139" t="s">
        <v>369</v>
      </c>
      <c r="F328" s="140" t="s">
        <v>370</v>
      </c>
      <c r="G328" s="141" t="s">
        <v>248</v>
      </c>
      <c r="H328" s="142">
        <v>175.541</v>
      </c>
      <c r="I328" s="143">
        <v>305.44</v>
      </c>
      <c r="J328" s="144">
        <f>ROUND(I328*H328,2)</f>
        <v>53617.24</v>
      </c>
      <c r="K328" s="140" t="s">
        <v>190</v>
      </c>
      <c r="L328" s="33"/>
      <c r="M328" s="145" t="s">
        <v>1</v>
      </c>
      <c r="N328" s="146" t="s">
        <v>47</v>
      </c>
      <c r="O328" s="147">
        <v>0.376</v>
      </c>
      <c r="P328" s="147">
        <f>O328*H328</f>
        <v>66.003416000000001</v>
      </c>
      <c r="Q328" s="147">
        <v>0</v>
      </c>
      <c r="R328" s="147">
        <f>Q328*H328</f>
        <v>0</v>
      </c>
      <c r="S328" s="147">
        <v>0</v>
      </c>
      <c r="T328" s="148">
        <f>S328*H328</f>
        <v>0</v>
      </c>
      <c r="AR328" s="149" t="s">
        <v>191</v>
      </c>
      <c r="AT328" s="149" t="s">
        <v>186</v>
      </c>
      <c r="AU328" s="149" t="s">
        <v>20</v>
      </c>
      <c r="AY328" s="18" t="s">
        <v>184</v>
      </c>
      <c r="BE328" s="150">
        <f>IF(N328="základní",J328,0)</f>
        <v>53617.24</v>
      </c>
      <c r="BF328" s="150">
        <f>IF(N328="snížená",J328,0)</f>
        <v>0</v>
      </c>
      <c r="BG328" s="150">
        <f>IF(N328="zákl. přenesená",J328,0)</f>
        <v>0</v>
      </c>
      <c r="BH328" s="150">
        <f>IF(N328="sníž. přenesená",J328,0)</f>
        <v>0</v>
      </c>
      <c r="BI328" s="150">
        <f>IF(N328="nulová",J328,0)</f>
        <v>0</v>
      </c>
      <c r="BJ328" s="18" t="s">
        <v>88</v>
      </c>
      <c r="BK328" s="150">
        <f>ROUND(I328*H328,2)</f>
        <v>53617.24</v>
      </c>
      <c r="BL328" s="18" t="s">
        <v>191</v>
      </c>
      <c r="BM328" s="149" t="s">
        <v>1114</v>
      </c>
    </row>
    <row r="329" spans="2:65" s="1" customFormat="1" x14ac:dyDescent="0.3">
      <c r="B329" s="33"/>
      <c r="D329" s="151" t="s">
        <v>193</v>
      </c>
      <c r="F329" s="152" t="s">
        <v>372</v>
      </c>
      <c r="I329" s="153"/>
      <c r="L329" s="33"/>
      <c r="M329" s="154"/>
      <c r="T329" s="57"/>
      <c r="AT329" s="18" t="s">
        <v>193</v>
      </c>
      <c r="AU329" s="18" t="s">
        <v>20</v>
      </c>
    </row>
    <row r="330" spans="2:65" s="12" customFormat="1" ht="11.25" x14ac:dyDescent="0.3">
      <c r="B330" s="155"/>
      <c r="D330" s="156" t="s">
        <v>195</v>
      </c>
      <c r="E330" s="157" t="s">
        <v>1</v>
      </c>
      <c r="F330" s="158" t="s">
        <v>1115</v>
      </c>
      <c r="H330" s="159">
        <v>175.541</v>
      </c>
      <c r="I330" s="160"/>
      <c r="L330" s="155"/>
      <c r="M330" s="161"/>
      <c r="T330" s="162"/>
      <c r="AT330" s="157" t="s">
        <v>195</v>
      </c>
      <c r="AU330" s="157" t="s">
        <v>20</v>
      </c>
      <c r="AV330" s="12" t="s">
        <v>20</v>
      </c>
      <c r="AW330" s="12" t="s">
        <v>37</v>
      </c>
      <c r="AX330" s="12" t="s">
        <v>88</v>
      </c>
      <c r="AY330" s="157" t="s">
        <v>184</v>
      </c>
    </row>
    <row r="331" spans="2:65" s="1" customFormat="1" ht="21.75" customHeight="1" x14ac:dyDescent="0.3">
      <c r="B331" s="33"/>
      <c r="C331" s="138" t="s">
        <v>1116</v>
      </c>
      <c r="D331" s="138" t="s">
        <v>186</v>
      </c>
      <c r="E331" s="139" t="s">
        <v>643</v>
      </c>
      <c r="F331" s="140" t="s">
        <v>644</v>
      </c>
      <c r="G331" s="141" t="s">
        <v>248</v>
      </c>
      <c r="H331" s="142">
        <v>1.865</v>
      </c>
      <c r="I331" s="143">
        <v>256.7</v>
      </c>
      <c r="J331" s="144">
        <f>ROUND(I331*H331,2)</f>
        <v>478.75</v>
      </c>
      <c r="K331" s="140" t="s">
        <v>190</v>
      </c>
      <c r="L331" s="33"/>
      <c r="M331" s="145" t="s">
        <v>1</v>
      </c>
      <c r="N331" s="146" t="s">
        <v>47</v>
      </c>
      <c r="O331" s="147">
        <v>0</v>
      </c>
      <c r="P331" s="147">
        <f>O331*H331</f>
        <v>0</v>
      </c>
      <c r="Q331" s="147">
        <v>0</v>
      </c>
      <c r="R331" s="147">
        <f>Q331*H331</f>
        <v>0</v>
      </c>
      <c r="S331" s="147">
        <v>0</v>
      </c>
      <c r="T331" s="148">
        <f>S331*H331</f>
        <v>0</v>
      </c>
      <c r="AR331" s="149" t="s">
        <v>191</v>
      </c>
      <c r="AT331" s="149" t="s">
        <v>186</v>
      </c>
      <c r="AU331" s="149" t="s">
        <v>20</v>
      </c>
      <c r="AY331" s="18" t="s">
        <v>184</v>
      </c>
      <c r="BE331" s="150">
        <f>IF(N331="základní",J331,0)</f>
        <v>478.75</v>
      </c>
      <c r="BF331" s="150">
        <f>IF(N331="snížená",J331,0)</f>
        <v>0</v>
      </c>
      <c r="BG331" s="150">
        <f>IF(N331="zákl. přenesená",J331,0)</f>
        <v>0</v>
      </c>
      <c r="BH331" s="150">
        <f>IF(N331="sníž. přenesená",J331,0)</f>
        <v>0</v>
      </c>
      <c r="BI331" s="150">
        <f>IF(N331="nulová",J331,0)</f>
        <v>0</v>
      </c>
      <c r="BJ331" s="18" t="s">
        <v>88</v>
      </c>
      <c r="BK331" s="150">
        <f>ROUND(I331*H331,2)</f>
        <v>478.75</v>
      </c>
      <c r="BL331" s="18" t="s">
        <v>191</v>
      </c>
      <c r="BM331" s="149" t="s">
        <v>1117</v>
      </c>
    </row>
    <row r="332" spans="2:65" s="1" customFormat="1" x14ac:dyDescent="0.3">
      <c r="B332" s="33"/>
      <c r="D332" s="151" t="s">
        <v>193</v>
      </c>
      <c r="F332" s="152" t="s">
        <v>646</v>
      </c>
      <c r="I332" s="153"/>
      <c r="L332" s="33"/>
      <c r="M332" s="154"/>
      <c r="T332" s="57"/>
      <c r="AT332" s="18" t="s">
        <v>193</v>
      </c>
      <c r="AU332" s="18" t="s">
        <v>20</v>
      </c>
    </row>
    <row r="333" spans="2:65" s="11" customFormat="1" ht="22.9" customHeight="1" x14ac:dyDescent="0.2">
      <c r="B333" s="127"/>
      <c r="D333" s="128" t="s">
        <v>80</v>
      </c>
      <c r="E333" s="136" t="s">
        <v>374</v>
      </c>
      <c r="F333" s="136" t="s">
        <v>375</v>
      </c>
      <c r="I333" s="171"/>
      <c r="J333" s="137">
        <f>BK333</f>
        <v>695767.28</v>
      </c>
      <c r="L333" s="127"/>
      <c r="M333" s="131"/>
      <c r="P333" s="132">
        <f>SUM(P334:P335)</f>
        <v>2810.950812</v>
      </c>
      <c r="R333" s="132">
        <f>SUM(R334:R335)</f>
        <v>0</v>
      </c>
      <c r="T333" s="133">
        <f>SUM(T334:T335)</f>
        <v>0</v>
      </c>
      <c r="AR333" s="128" t="s">
        <v>88</v>
      </c>
      <c r="AT333" s="134" t="s">
        <v>80</v>
      </c>
      <c r="AU333" s="134" t="s">
        <v>88</v>
      </c>
      <c r="AY333" s="128" t="s">
        <v>184</v>
      </c>
      <c r="BK333" s="135">
        <f>SUM(BK334:BK335)</f>
        <v>695767.28</v>
      </c>
    </row>
    <row r="334" spans="2:65" s="1" customFormat="1" ht="16.5" customHeight="1" x14ac:dyDescent="0.3">
      <c r="B334" s="33"/>
      <c r="C334" s="138" t="s">
        <v>1118</v>
      </c>
      <c r="D334" s="138" t="s">
        <v>186</v>
      </c>
      <c r="E334" s="139" t="s">
        <v>1119</v>
      </c>
      <c r="F334" s="140" t="s">
        <v>1120</v>
      </c>
      <c r="G334" s="141" t="s">
        <v>248</v>
      </c>
      <c r="H334" s="142">
        <v>1138.9590000000001</v>
      </c>
      <c r="I334" s="143">
        <v>305.44</v>
      </c>
      <c r="J334" s="144">
        <f>ROUND(I334*H334,2)</f>
        <v>347883.64</v>
      </c>
      <c r="K334" s="140" t="s">
        <v>658</v>
      </c>
      <c r="L334" s="33"/>
      <c r="M334" s="145" t="s">
        <v>1</v>
      </c>
      <c r="N334" s="146" t="s">
        <v>47</v>
      </c>
      <c r="O334" s="147">
        <v>1.48</v>
      </c>
      <c r="P334" s="147">
        <f>O334*H334</f>
        <v>1685.65932</v>
      </c>
      <c r="Q334" s="147">
        <v>0</v>
      </c>
      <c r="R334" s="147">
        <f>Q334*H334</f>
        <v>0</v>
      </c>
      <c r="S334" s="147">
        <v>0</v>
      </c>
      <c r="T334" s="148">
        <f>S334*H334</f>
        <v>0</v>
      </c>
      <c r="AR334" s="149" t="s">
        <v>191</v>
      </c>
      <c r="AT334" s="149" t="s">
        <v>186</v>
      </c>
      <c r="AU334" s="149" t="s">
        <v>20</v>
      </c>
      <c r="AY334" s="18" t="s">
        <v>184</v>
      </c>
      <c r="BE334" s="150">
        <f>IF(N334="základní",J334,0)</f>
        <v>347883.64</v>
      </c>
      <c r="BF334" s="150">
        <f>IF(N334="snížená",J334,0)</f>
        <v>0</v>
      </c>
      <c r="BG334" s="150">
        <f>IF(N334="zákl. přenesená",J334,0)</f>
        <v>0</v>
      </c>
      <c r="BH334" s="150">
        <f>IF(N334="sníž. přenesená",J334,0)</f>
        <v>0</v>
      </c>
      <c r="BI334" s="150">
        <f>IF(N334="nulová",J334,0)</f>
        <v>0</v>
      </c>
      <c r="BJ334" s="18" t="s">
        <v>88</v>
      </c>
      <c r="BK334" s="150">
        <f>ROUND(I334*H334,2)</f>
        <v>347883.64</v>
      </c>
      <c r="BL334" s="18" t="s">
        <v>191</v>
      </c>
      <c r="BM334" s="149" t="s">
        <v>1121</v>
      </c>
    </row>
    <row r="335" spans="2:65" s="1" customFormat="1" ht="21.75" customHeight="1" x14ac:dyDescent="0.3">
      <c r="B335" s="33"/>
      <c r="C335" s="138" t="s">
        <v>1122</v>
      </c>
      <c r="D335" s="138" t="s">
        <v>186</v>
      </c>
      <c r="E335" s="139" t="s">
        <v>1123</v>
      </c>
      <c r="F335" s="140" t="s">
        <v>1124</v>
      </c>
      <c r="G335" s="141" t="s">
        <v>248</v>
      </c>
      <c r="H335" s="142">
        <v>1138.9590000000001</v>
      </c>
      <c r="I335" s="143">
        <v>305.44</v>
      </c>
      <c r="J335" s="144">
        <f>ROUND(I335*H335,2)</f>
        <v>347883.64</v>
      </c>
      <c r="K335" s="140" t="s">
        <v>658</v>
      </c>
      <c r="L335" s="33"/>
      <c r="M335" s="145" t="s">
        <v>1</v>
      </c>
      <c r="N335" s="146" t="s">
        <v>47</v>
      </c>
      <c r="O335" s="147">
        <v>0.98799999999999999</v>
      </c>
      <c r="P335" s="147">
        <f>O335*H335</f>
        <v>1125.2914920000001</v>
      </c>
      <c r="Q335" s="147">
        <v>0</v>
      </c>
      <c r="R335" s="147">
        <f>Q335*H335</f>
        <v>0</v>
      </c>
      <c r="S335" s="147">
        <v>0</v>
      </c>
      <c r="T335" s="148">
        <f>S335*H335</f>
        <v>0</v>
      </c>
      <c r="AR335" s="149" t="s">
        <v>191</v>
      </c>
      <c r="AT335" s="149" t="s">
        <v>186</v>
      </c>
      <c r="AU335" s="149" t="s">
        <v>20</v>
      </c>
      <c r="AY335" s="18" t="s">
        <v>184</v>
      </c>
      <c r="BE335" s="150">
        <f>IF(N335="základní",J335,0)</f>
        <v>347883.64</v>
      </c>
      <c r="BF335" s="150">
        <f>IF(N335="snížená",J335,0)</f>
        <v>0</v>
      </c>
      <c r="BG335" s="150">
        <f>IF(N335="zákl. přenesená",J335,0)</f>
        <v>0</v>
      </c>
      <c r="BH335" s="150">
        <f>IF(N335="sníž. přenesená",J335,0)</f>
        <v>0</v>
      </c>
      <c r="BI335" s="150">
        <f>IF(N335="nulová",J335,0)</f>
        <v>0</v>
      </c>
      <c r="BJ335" s="18" t="s">
        <v>88</v>
      </c>
      <c r="BK335" s="150">
        <f>ROUND(I335*H335,2)</f>
        <v>347883.64</v>
      </c>
      <c r="BL335" s="18" t="s">
        <v>191</v>
      </c>
      <c r="BM335" s="149" t="s">
        <v>1125</v>
      </c>
    </row>
    <row r="336" spans="2:65" s="11" customFormat="1" ht="25.9" customHeight="1" x14ac:dyDescent="0.2">
      <c r="B336" s="127"/>
      <c r="D336" s="128" t="s">
        <v>80</v>
      </c>
      <c r="E336" s="129" t="s">
        <v>381</v>
      </c>
      <c r="F336" s="129" t="s">
        <v>382</v>
      </c>
      <c r="I336" s="171"/>
      <c r="J336" s="130">
        <f>BK336</f>
        <v>23811.35</v>
      </c>
      <c r="L336" s="127"/>
      <c r="M336" s="131"/>
      <c r="P336" s="132">
        <f>P337</f>
        <v>1.6991400000000001</v>
      </c>
      <c r="R336" s="132">
        <f>R337</f>
        <v>6.1799999999999994E-2</v>
      </c>
      <c r="T336" s="133">
        <f>T337</f>
        <v>0</v>
      </c>
      <c r="AR336" s="128" t="s">
        <v>20</v>
      </c>
      <c r="AT336" s="134" t="s">
        <v>80</v>
      </c>
      <c r="AU336" s="134" t="s">
        <v>81</v>
      </c>
      <c r="AY336" s="128" t="s">
        <v>184</v>
      </c>
      <c r="BK336" s="135">
        <f>BK337</f>
        <v>23811.35</v>
      </c>
    </row>
    <row r="337" spans="2:65" s="11" customFormat="1" ht="22.9" customHeight="1" x14ac:dyDescent="0.2">
      <c r="B337" s="127"/>
      <c r="D337" s="128" t="s">
        <v>80</v>
      </c>
      <c r="E337" s="136" t="s">
        <v>1126</v>
      </c>
      <c r="F337" s="136" t="s">
        <v>1127</v>
      </c>
      <c r="I337" s="171"/>
      <c r="J337" s="137">
        <f>BK337</f>
        <v>23811.35</v>
      </c>
      <c r="L337" s="127"/>
      <c r="M337" s="131"/>
      <c r="P337" s="132">
        <f>SUM(P338:P342)</f>
        <v>1.6991400000000001</v>
      </c>
      <c r="R337" s="132">
        <f>SUM(R338:R342)</f>
        <v>6.1799999999999994E-2</v>
      </c>
      <c r="T337" s="133">
        <f>SUM(T338:T342)</f>
        <v>0</v>
      </c>
      <c r="AR337" s="128" t="s">
        <v>20</v>
      </c>
      <c r="AT337" s="134" t="s">
        <v>80</v>
      </c>
      <c r="AU337" s="134" t="s">
        <v>88</v>
      </c>
      <c r="AY337" s="128" t="s">
        <v>184</v>
      </c>
      <c r="BK337" s="135">
        <f>SUM(BK338:BK342)</f>
        <v>23811.35</v>
      </c>
    </row>
    <row r="338" spans="2:65" s="1" customFormat="1" ht="16.5" customHeight="1" x14ac:dyDescent="0.3">
      <c r="B338" s="33"/>
      <c r="C338" s="138" t="s">
        <v>1128</v>
      </c>
      <c r="D338" s="138" t="s">
        <v>186</v>
      </c>
      <c r="E338" s="139" t="s">
        <v>1129</v>
      </c>
      <c r="F338" s="140" t="s">
        <v>1130</v>
      </c>
      <c r="G338" s="141" t="s">
        <v>557</v>
      </c>
      <c r="H338" s="142">
        <v>2</v>
      </c>
      <c r="I338" s="143">
        <v>2290.7600000000002</v>
      </c>
      <c r="J338" s="144">
        <f>ROUND(I338*H338,2)</f>
        <v>4581.5200000000004</v>
      </c>
      <c r="K338" s="140" t="s">
        <v>190</v>
      </c>
      <c r="L338" s="33"/>
      <c r="M338" s="145" t="s">
        <v>1</v>
      </c>
      <c r="N338" s="146" t="s">
        <v>47</v>
      </c>
      <c r="O338" s="147">
        <v>0.80400000000000005</v>
      </c>
      <c r="P338" s="147">
        <f>O338*H338</f>
        <v>1.6080000000000001</v>
      </c>
      <c r="Q338" s="147">
        <v>1.4E-3</v>
      </c>
      <c r="R338" s="147">
        <f>Q338*H338</f>
        <v>2.8E-3</v>
      </c>
      <c r="S338" s="147">
        <v>0</v>
      </c>
      <c r="T338" s="148">
        <f>S338*H338</f>
        <v>0</v>
      </c>
      <c r="AR338" s="149" t="s">
        <v>287</v>
      </c>
      <c r="AT338" s="149" t="s">
        <v>186</v>
      </c>
      <c r="AU338" s="149" t="s">
        <v>20</v>
      </c>
      <c r="AY338" s="18" t="s">
        <v>184</v>
      </c>
      <c r="BE338" s="150">
        <f>IF(N338="základní",J338,0)</f>
        <v>4581.5200000000004</v>
      </c>
      <c r="BF338" s="150">
        <f>IF(N338="snížená",J338,0)</f>
        <v>0</v>
      </c>
      <c r="BG338" s="150">
        <f>IF(N338="zákl. přenesená",J338,0)</f>
        <v>0</v>
      </c>
      <c r="BH338" s="150">
        <f>IF(N338="sníž. přenesená",J338,0)</f>
        <v>0</v>
      </c>
      <c r="BI338" s="150">
        <f>IF(N338="nulová",J338,0)</f>
        <v>0</v>
      </c>
      <c r="BJ338" s="18" t="s">
        <v>88</v>
      </c>
      <c r="BK338" s="150">
        <f>ROUND(I338*H338,2)</f>
        <v>4581.5200000000004</v>
      </c>
      <c r="BL338" s="18" t="s">
        <v>287</v>
      </c>
      <c r="BM338" s="149" t="s">
        <v>1131</v>
      </c>
    </row>
    <row r="339" spans="2:65" s="1" customFormat="1" x14ac:dyDescent="0.3">
      <c r="B339" s="33"/>
      <c r="D339" s="151" t="s">
        <v>193</v>
      </c>
      <c r="F339" s="152" t="s">
        <v>1132</v>
      </c>
      <c r="I339" s="153"/>
      <c r="L339" s="33"/>
      <c r="M339" s="154"/>
      <c r="T339" s="57"/>
      <c r="AT339" s="18" t="s">
        <v>193</v>
      </c>
      <c r="AU339" s="18" t="s">
        <v>20</v>
      </c>
    </row>
    <row r="340" spans="2:65" s="1" customFormat="1" ht="16.5" customHeight="1" x14ac:dyDescent="0.3">
      <c r="B340" s="33"/>
      <c r="C340" s="172" t="s">
        <v>1133</v>
      </c>
      <c r="D340" s="172" t="s">
        <v>271</v>
      </c>
      <c r="E340" s="173" t="s">
        <v>1134</v>
      </c>
      <c r="F340" s="174" t="s">
        <v>1135</v>
      </c>
      <c r="G340" s="175" t="s">
        <v>557</v>
      </c>
      <c r="H340" s="176">
        <v>2</v>
      </c>
      <c r="I340" s="177">
        <v>9520.2999999999993</v>
      </c>
      <c r="J340" s="178">
        <f>ROUND(I340*H340,2)</f>
        <v>19040.599999999999</v>
      </c>
      <c r="K340" s="174" t="s">
        <v>190</v>
      </c>
      <c r="L340" s="179"/>
      <c r="M340" s="180" t="s">
        <v>1</v>
      </c>
      <c r="N340" s="181" t="s">
        <v>47</v>
      </c>
      <c r="O340" s="147">
        <v>0</v>
      </c>
      <c r="P340" s="147">
        <f>O340*H340</f>
        <v>0</v>
      </c>
      <c r="Q340" s="147">
        <v>2.9499999999999998E-2</v>
      </c>
      <c r="R340" s="147">
        <f>Q340*H340</f>
        <v>5.8999999999999997E-2</v>
      </c>
      <c r="S340" s="147">
        <v>0</v>
      </c>
      <c r="T340" s="148">
        <f>S340*H340</f>
        <v>0</v>
      </c>
      <c r="AR340" s="149" t="s">
        <v>392</v>
      </c>
      <c r="AT340" s="149" t="s">
        <v>271</v>
      </c>
      <c r="AU340" s="149" t="s">
        <v>20</v>
      </c>
      <c r="AY340" s="18" t="s">
        <v>184</v>
      </c>
      <c r="BE340" s="150">
        <f>IF(N340="základní",J340,0)</f>
        <v>19040.599999999999</v>
      </c>
      <c r="BF340" s="150">
        <f>IF(N340="snížená",J340,0)</f>
        <v>0</v>
      </c>
      <c r="BG340" s="150">
        <f>IF(N340="zákl. přenesená",J340,0)</f>
        <v>0</v>
      </c>
      <c r="BH340" s="150">
        <f>IF(N340="sníž. přenesená",J340,0)</f>
        <v>0</v>
      </c>
      <c r="BI340" s="150">
        <f>IF(N340="nulová",J340,0)</f>
        <v>0</v>
      </c>
      <c r="BJ340" s="18" t="s">
        <v>88</v>
      </c>
      <c r="BK340" s="150">
        <f>ROUND(I340*H340,2)</f>
        <v>19040.599999999999</v>
      </c>
      <c r="BL340" s="18" t="s">
        <v>287</v>
      </c>
      <c r="BM340" s="149" t="s">
        <v>1136</v>
      </c>
    </row>
    <row r="341" spans="2:65" s="1" customFormat="1" ht="16.5" customHeight="1" x14ac:dyDescent="0.3">
      <c r="B341" s="33"/>
      <c r="C341" s="138" t="s">
        <v>1137</v>
      </c>
      <c r="D341" s="138" t="s">
        <v>186</v>
      </c>
      <c r="E341" s="139" t="s">
        <v>1138</v>
      </c>
      <c r="F341" s="140" t="s">
        <v>1139</v>
      </c>
      <c r="G341" s="141" t="s">
        <v>248</v>
      </c>
      <c r="H341" s="142">
        <v>6.2E-2</v>
      </c>
      <c r="I341" s="143">
        <v>3052.02</v>
      </c>
      <c r="J341" s="144">
        <f>ROUND(I341*H341,2)</f>
        <v>189.23</v>
      </c>
      <c r="K341" s="140" t="s">
        <v>190</v>
      </c>
      <c r="L341" s="33"/>
      <c r="M341" s="145" t="s">
        <v>1</v>
      </c>
      <c r="N341" s="146" t="s">
        <v>47</v>
      </c>
      <c r="O341" s="147">
        <v>1.47</v>
      </c>
      <c r="P341" s="147">
        <f>O341*H341</f>
        <v>9.1139999999999999E-2</v>
      </c>
      <c r="Q341" s="147">
        <v>0</v>
      </c>
      <c r="R341" s="147">
        <f>Q341*H341</f>
        <v>0</v>
      </c>
      <c r="S341" s="147">
        <v>0</v>
      </c>
      <c r="T341" s="148">
        <f>S341*H341</f>
        <v>0</v>
      </c>
      <c r="AR341" s="149" t="s">
        <v>287</v>
      </c>
      <c r="AT341" s="149" t="s">
        <v>186</v>
      </c>
      <c r="AU341" s="149" t="s">
        <v>20</v>
      </c>
      <c r="AY341" s="18" t="s">
        <v>184</v>
      </c>
      <c r="BE341" s="150">
        <f>IF(N341="základní",J341,0)</f>
        <v>189.23</v>
      </c>
      <c r="BF341" s="150">
        <f>IF(N341="snížená",J341,0)</f>
        <v>0</v>
      </c>
      <c r="BG341" s="150">
        <f>IF(N341="zákl. přenesená",J341,0)</f>
        <v>0</v>
      </c>
      <c r="BH341" s="150">
        <f>IF(N341="sníž. přenesená",J341,0)</f>
        <v>0</v>
      </c>
      <c r="BI341" s="150">
        <f>IF(N341="nulová",J341,0)</f>
        <v>0</v>
      </c>
      <c r="BJ341" s="18" t="s">
        <v>88</v>
      </c>
      <c r="BK341" s="150">
        <f>ROUND(I341*H341,2)</f>
        <v>189.23</v>
      </c>
      <c r="BL341" s="18" t="s">
        <v>287</v>
      </c>
      <c r="BM341" s="149" t="s">
        <v>1140</v>
      </c>
    </row>
    <row r="342" spans="2:65" s="1" customFormat="1" x14ac:dyDescent="0.3">
      <c r="B342" s="33"/>
      <c r="D342" s="151" t="s">
        <v>193</v>
      </c>
      <c r="F342" s="152" t="s">
        <v>1141</v>
      </c>
      <c r="I342" s="153"/>
      <c r="L342" s="33"/>
      <c r="M342" s="154"/>
      <c r="T342" s="57"/>
      <c r="AT342" s="18" t="s">
        <v>193</v>
      </c>
      <c r="AU342" s="18" t="s">
        <v>20</v>
      </c>
    </row>
    <row r="343" spans="2:65" s="11" customFormat="1" ht="25.9" customHeight="1" x14ac:dyDescent="0.2">
      <c r="B343" s="127"/>
      <c r="D343" s="128" t="s">
        <v>80</v>
      </c>
      <c r="E343" s="129" t="s">
        <v>1142</v>
      </c>
      <c r="F343" s="129" t="s">
        <v>1143</v>
      </c>
      <c r="I343" s="171"/>
      <c r="J343" s="130">
        <f>BK343</f>
        <v>64204.800000000003</v>
      </c>
      <c r="L343" s="127"/>
      <c r="M343" s="131"/>
      <c r="P343" s="132">
        <f>P344</f>
        <v>0</v>
      </c>
      <c r="R343" s="132">
        <f>R344</f>
        <v>0</v>
      </c>
      <c r="T343" s="133">
        <f>T344</f>
        <v>0</v>
      </c>
      <c r="AR343" s="128" t="s">
        <v>214</v>
      </c>
      <c r="AT343" s="134" t="s">
        <v>80</v>
      </c>
      <c r="AU343" s="134" t="s">
        <v>81</v>
      </c>
      <c r="AY343" s="128" t="s">
        <v>184</v>
      </c>
      <c r="BK343" s="135">
        <f>BK344</f>
        <v>64204.800000000003</v>
      </c>
    </row>
    <row r="344" spans="2:65" s="11" customFormat="1" ht="22.9" customHeight="1" x14ac:dyDescent="0.2">
      <c r="B344" s="127"/>
      <c r="D344" s="128" t="s">
        <v>80</v>
      </c>
      <c r="E344" s="136" t="s">
        <v>1144</v>
      </c>
      <c r="F344" s="136" t="s">
        <v>1145</v>
      </c>
      <c r="I344" s="171"/>
      <c r="J344" s="137">
        <f>BK344</f>
        <v>64204.800000000003</v>
      </c>
      <c r="L344" s="127"/>
      <c r="M344" s="131"/>
      <c r="P344" s="132">
        <f>SUM(P345:P355)</f>
        <v>0</v>
      </c>
      <c r="R344" s="132">
        <f>SUM(R345:R355)</f>
        <v>0</v>
      </c>
      <c r="T344" s="133">
        <f>SUM(T345:T355)</f>
        <v>0</v>
      </c>
      <c r="AR344" s="128" t="s">
        <v>214</v>
      </c>
      <c r="AT344" s="134" t="s">
        <v>80</v>
      </c>
      <c r="AU344" s="134" t="s">
        <v>88</v>
      </c>
      <c r="AY344" s="128" t="s">
        <v>184</v>
      </c>
      <c r="BK344" s="135">
        <f>SUM(BK345:BK355)</f>
        <v>64204.800000000003</v>
      </c>
    </row>
    <row r="345" spans="2:65" s="1" customFormat="1" ht="16.5" customHeight="1" x14ac:dyDescent="0.3">
      <c r="B345" s="33"/>
      <c r="C345" s="138" t="s">
        <v>1146</v>
      </c>
      <c r="D345" s="138" t="s">
        <v>186</v>
      </c>
      <c r="E345" s="139" t="s">
        <v>1147</v>
      </c>
      <c r="F345" s="140" t="s">
        <v>1148</v>
      </c>
      <c r="G345" s="141" t="s">
        <v>1149</v>
      </c>
      <c r="H345" s="142">
        <v>1</v>
      </c>
      <c r="I345" s="143">
        <v>7133.87</v>
      </c>
      <c r="J345" s="144">
        <f>ROUND(I345*H345,2)</f>
        <v>7133.87</v>
      </c>
      <c r="K345" s="140" t="s">
        <v>190</v>
      </c>
      <c r="L345" s="33"/>
      <c r="M345" s="145" t="s">
        <v>1</v>
      </c>
      <c r="N345" s="146" t="s">
        <v>47</v>
      </c>
      <c r="O345" s="147">
        <v>0</v>
      </c>
      <c r="P345" s="147">
        <f>O345*H345</f>
        <v>0</v>
      </c>
      <c r="Q345" s="147">
        <v>0</v>
      </c>
      <c r="R345" s="147">
        <f>Q345*H345</f>
        <v>0</v>
      </c>
      <c r="S345" s="147">
        <v>0</v>
      </c>
      <c r="T345" s="148">
        <f>S345*H345</f>
        <v>0</v>
      </c>
      <c r="AR345" s="149" t="s">
        <v>1150</v>
      </c>
      <c r="AT345" s="149" t="s">
        <v>186</v>
      </c>
      <c r="AU345" s="149" t="s">
        <v>20</v>
      </c>
      <c r="AY345" s="18" t="s">
        <v>184</v>
      </c>
      <c r="BE345" s="150">
        <f>IF(N345="základní",J345,0)</f>
        <v>7133.87</v>
      </c>
      <c r="BF345" s="150">
        <f>IF(N345="snížená",J345,0)</f>
        <v>0</v>
      </c>
      <c r="BG345" s="150">
        <f>IF(N345="zákl. přenesená",J345,0)</f>
        <v>0</v>
      </c>
      <c r="BH345" s="150">
        <f>IF(N345="sníž. přenesená",J345,0)</f>
        <v>0</v>
      </c>
      <c r="BI345" s="150">
        <f>IF(N345="nulová",J345,0)</f>
        <v>0</v>
      </c>
      <c r="BJ345" s="18" t="s">
        <v>88</v>
      </c>
      <c r="BK345" s="150">
        <f>ROUND(I345*H345,2)</f>
        <v>7133.87</v>
      </c>
      <c r="BL345" s="18" t="s">
        <v>1150</v>
      </c>
      <c r="BM345" s="149" t="s">
        <v>1151</v>
      </c>
    </row>
    <row r="346" spans="2:65" s="1" customFormat="1" x14ac:dyDescent="0.3">
      <c r="B346" s="33"/>
      <c r="D346" s="151" t="s">
        <v>193</v>
      </c>
      <c r="F346" s="152" t="s">
        <v>1152</v>
      </c>
      <c r="I346" s="153"/>
      <c r="L346" s="33"/>
      <c r="M346" s="154"/>
      <c r="T346" s="57"/>
      <c r="AT346" s="18" t="s">
        <v>193</v>
      </c>
      <c r="AU346" s="18" t="s">
        <v>20</v>
      </c>
    </row>
    <row r="347" spans="2:65" s="1" customFormat="1" ht="39" x14ac:dyDescent="0.3">
      <c r="B347" s="33"/>
      <c r="D347" s="156" t="s">
        <v>236</v>
      </c>
      <c r="F347" s="170" t="s">
        <v>1153</v>
      </c>
      <c r="I347" s="153"/>
      <c r="L347" s="33"/>
      <c r="M347" s="154"/>
      <c r="T347" s="57"/>
      <c r="AT347" s="18" t="s">
        <v>236</v>
      </c>
      <c r="AU347" s="18" t="s">
        <v>20</v>
      </c>
    </row>
    <row r="348" spans="2:65" s="1" customFormat="1" ht="16.5" customHeight="1" x14ac:dyDescent="0.3">
      <c r="B348" s="33"/>
      <c r="C348" s="138" t="s">
        <v>1154</v>
      </c>
      <c r="D348" s="138" t="s">
        <v>186</v>
      </c>
      <c r="E348" s="139" t="s">
        <v>1155</v>
      </c>
      <c r="F348" s="140" t="s">
        <v>1156</v>
      </c>
      <c r="G348" s="141" t="s">
        <v>1149</v>
      </c>
      <c r="H348" s="142">
        <v>1</v>
      </c>
      <c r="I348" s="143">
        <v>19974.830000000002</v>
      </c>
      <c r="J348" s="144">
        <f>ROUND(I348*H348,2)</f>
        <v>19974.830000000002</v>
      </c>
      <c r="K348" s="140" t="s">
        <v>1</v>
      </c>
      <c r="L348" s="33"/>
      <c r="M348" s="145" t="s">
        <v>1</v>
      </c>
      <c r="N348" s="146" t="s">
        <v>47</v>
      </c>
      <c r="O348" s="147">
        <v>0</v>
      </c>
      <c r="P348" s="147">
        <f>O348*H348</f>
        <v>0</v>
      </c>
      <c r="Q348" s="147">
        <v>0</v>
      </c>
      <c r="R348" s="147">
        <f>Q348*H348</f>
        <v>0</v>
      </c>
      <c r="S348" s="147">
        <v>0</v>
      </c>
      <c r="T348" s="148">
        <f>S348*H348</f>
        <v>0</v>
      </c>
      <c r="AR348" s="149" t="s">
        <v>1150</v>
      </c>
      <c r="AT348" s="149" t="s">
        <v>186</v>
      </c>
      <c r="AU348" s="149" t="s">
        <v>20</v>
      </c>
      <c r="AY348" s="18" t="s">
        <v>184</v>
      </c>
      <c r="BE348" s="150">
        <f>IF(N348="základní",J348,0)</f>
        <v>19974.830000000002</v>
      </c>
      <c r="BF348" s="150">
        <f>IF(N348="snížená",J348,0)</f>
        <v>0</v>
      </c>
      <c r="BG348" s="150">
        <f>IF(N348="zákl. přenesená",J348,0)</f>
        <v>0</v>
      </c>
      <c r="BH348" s="150">
        <f>IF(N348="sníž. přenesená",J348,0)</f>
        <v>0</v>
      </c>
      <c r="BI348" s="150">
        <f>IF(N348="nulová",J348,0)</f>
        <v>0</v>
      </c>
      <c r="BJ348" s="18" t="s">
        <v>88</v>
      </c>
      <c r="BK348" s="150">
        <f>ROUND(I348*H348,2)</f>
        <v>19974.830000000002</v>
      </c>
      <c r="BL348" s="18" t="s">
        <v>1150</v>
      </c>
      <c r="BM348" s="149" t="s">
        <v>1157</v>
      </c>
    </row>
    <row r="349" spans="2:65" s="1" customFormat="1" ht="29.25" x14ac:dyDescent="0.3">
      <c r="B349" s="33"/>
      <c r="D349" s="156" t="s">
        <v>236</v>
      </c>
      <c r="F349" s="170" t="s">
        <v>1158</v>
      </c>
      <c r="I349" s="153"/>
      <c r="L349" s="33"/>
      <c r="M349" s="154"/>
      <c r="T349" s="57"/>
      <c r="AT349" s="18" t="s">
        <v>236</v>
      </c>
      <c r="AU349" s="18" t="s">
        <v>20</v>
      </c>
    </row>
    <row r="350" spans="2:65" s="1" customFormat="1" ht="16.5" customHeight="1" x14ac:dyDescent="0.3">
      <c r="B350" s="33"/>
      <c r="C350" s="138" t="s">
        <v>1159</v>
      </c>
      <c r="D350" s="138" t="s">
        <v>186</v>
      </c>
      <c r="E350" s="139" t="s">
        <v>1160</v>
      </c>
      <c r="F350" s="140" t="s">
        <v>1161</v>
      </c>
      <c r="G350" s="141" t="s">
        <v>1149</v>
      </c>
      <c r="H350" s="142">
        <v>1</v>
      </c>
      <c r="I350" s="143">
        <v>14267.73</v>
      </c>
      <c r="J350" s="144">
        <f>ROUND(I350*H350,2)</f>
        <v>14267.73</v>
      </c>
      <c r="K350" s="140" t="s">
        <v>190</v>
      </c>
      <c r="L350" s="33"/>
      <c r="M350" s="145" t="s">
        <v>1</v>
      </c>
      <c r="N350" s="146" t="s">
        <v>47</v>
      </c>
      <c r="O350" s="147">
        <v>0</v>
      </c>
      <c r="P350" s="147">
        <f>O350*H350</f>
        <v>0</v>
      </c>
      <c r="Q350" s="147">
        <v>0</v>
      </c>
      <c r="R350" s="147">
        <f>Q350*H350</f>
        <v>0</v>
      </c>
      <c r="S350" s="147">
        <v>0</v>
      </c>
      <c r="T350" s="148">
        <f>S350*H350</f>
        <v>0</v>
      </c>
      <c r="AR350" s="149" t="s">
        <v>1150</v>
      </c>
      <c r="AT350" s="149" t="s">
        <v>186</v>
      </c>
      <c r="AU350" s="149" t="s">
        <v>20</v>
      </c>
      <c r="AY350" s="18" t="s">
        <v>184</v>
      </c>
      <c r="BE350" s="150">
        <f>IF(N350="základní",J350,0)</f>
        <v>14267.73</v>
      </c>
      <c r="BF350" s="150">
        <f>IF(N350="snížená",J350,0)</f>
        <v>0</v>
      </c>
      <c r="BG350" s="150">
        <f>IF(N350="zákl. přenesená",J350,0)</f>
        <v>0</v>
      </c>
      <c r="BH350" s="150">
        <f>IF(N350="sníž. přenesená",J350,0)</f>
        <v>0</v>
      </c>
      <c r="BI350" s="150">
        <f>IF(N350="nulová",J350,0)</f>
        <v>0</v>
      </c>
      <c r="BJ350" s="18" t="s">
        <v>88</v>
      </c>
      <c r="BK350" s="150">
        <f>ROUND(I350*H350,2)</f>
        <v>14267.73</v>
      </c>
      <c r="BL350" s="18" t="s">
        <v>1150</v>
      </c>
      <c r="BM350" s="149" t="s">
        <v>1162</v>
      </c>
    </row>
    <row r="351" spans="2:65" s="1" customFormat="1" x14ac:dyDescent="0.3">
      <c r="B351" s="33"/>
      <c r="D351" s="151" t="s">
        <v>193</v>
      </c>
      <c r="F351" s="152" t="s">
        <v>1163</v>
      </c>
      <c r="I351" s="153"/>
      <c r="L351" s="33"/>
      <c r="M351" s="154"/>
      <c r="T351" s="57"/>
      <c r="AT351" s="18" t="s">
        <v>193</v>
      </c>
      <c r="AU351" s="18" t="s">
        <v>20</v>
      </c>
    </row>
    <row r="352" spans="2:65" s="1" customFormat="1" ht="29.25" x14ac:dyDescent="0.3">
      <c r="B352" s="33"/>
      <c r="D352" s="156" t="s">
        <v>236</v>
      </c>
      <c r="F352" s="170" t="s">
        <v>1164</v>
      </c>
      <c r="I352" s="153"/>
      <c r="L352" s="33"/>
      <c r="M352" s="154"/>
      <c r="T352" s="57"/>
      <c r="AT352" s="18" t="s">
        <v>236</v>
      </c>
      <c r="AU352" s="18" t="s">
        <v>20</v>
      </c>
    </row>
    <row r="353" spans="2:65" s="1" customFormat="1" ht="16.5" customHeight="1" x14ac:dyDescent="0.3">
      <c r="B353" s="33"/>
      <c r="C353" s="138" t="s">
        <v>1165</v>
      </c>
      <c r="D353" s="138" t="s">
        <v>186</v>
      </c>
      <c r="E353" s="139" t="s">
        <v>1166</v>
      </c>
      <c r="F353" s="140" t="s">
        <v>1167</v>
      </c>
      <c r="G353" s="141" t="s">
        <v>1149</v>
      </c>
      <c r="H353" s="142">
        <v>1</v>
      </c>
      <c r="I353" s="143">
        <v>22828.37</v>
      </c>
      <c r="J353" s="144">
        <f>ROUND(I353*H353,2)</f>
        <v>22828.37</v>
      </c>
      <c r="K353" s="140" t="s">
        <v>190</v>
      </c>
      <c r="L353" s="33"/>
      <c r="M353" s="145" t="s">
        <v>1</v>
      </c>
      <c r="N353" s="146" t="s">
        <v>47</v>
      </c>
      <c r="O353" s="147">
        <v>0</v>
      </c>
      <c r="P353" s="147">
        <f>O353*H353</f>
        <v>0</v>
      </c>
      <c r="Q353" s="147">
        <v>0</v>
      </c>
      <c r="R353" s="147">
        <f>Q353*H353</f>
        <v>0</v>
      </c>
      <c r="S353" s="147">
        <v>0</v>
      </c>
      <c r="T353" s="148">
        <f>S353*H353</f>
        <v>0</v>
      </c>
      <c r="AR353" s="149" t="s">
        <v>1150</v>
      </c>
      <c r="AT353" s="149" t="s">
        <v>186</v>
      </c>
      <c r="AU353" s="149" t="s">
        <v>20</v>
      </c>
      <c r="AY353" s="18" t="s">
        <v>184</v>
      </c>
      <c r="BE353" s="150">
        <f>IF(N353="základní",J353,0)</f>
        <v>22828.37</v>
      </c>
      <c r="BF353" s="150">
        <f>IF(N353="snížená",J353,0)</f>
        <v>0</v>
      </c>
      <c r="BG353" s="150">
        <f>IF(N353="zákl. přenesená",J353,0)</f>
        <v>0</v>
      </c>
      <c r="BH353" s="150">
        <f>IF(N353="sníž. přenesená",J353,0)</f>
        <v>0</v>
      </c>
      <c r="BI353" s="150">
        <f>IF(N353="nulová",J353,0)</f>
        <v>0</v>
      </c>
      <c r="BJ353" s="18" t="s">
        <v>88</v>
      </c>
      <c r="BK353" s="150">
        <f>ROUND(I353*H353,2)</f>
        <v>22828.37</v>
      </c>
      <c r="BL353" s="18" t="s">
        <v>1150</v>
      </c>
      <c r="BM353" s="149" t="s">
        <v>1168</v>
      </c>
    </row>
    <row r="354" spans="2:65" s="1" customFormat="1" x14ac:dyDescent="0.3">
      <c r="B354" s="33"/>
      <c r="D354" s="151" t="s">
        <v>193</v>
      </c>
      <c r="F354" s="152" t="s">
        <v>1169</v>
      </c>
      <c r="I354" s="153"/>
      <c r="L354" s="33"/>
      <c r="M354" s="154"/>
      <c r="T354" s="57"/>
      <c r="AT354" s="18" t="s">
        <v>193</v>
      </c>
      <c r="AU354" s="18" t="s">
        <v>20</v>
      </c>
    </row>
    <row r="355" spans="2:65" s="1" customFormat="1" ht="19.5" x14ac:dyDescent="0.3">
      <c r="B355" s="33"/>
      <c r="D355" s="156" t="s">
        <v>236</v>
      </c>
      <c r="F355" s="170" t="s">
        <v>1170</v>
      </c>
      <c r="I355" s="153"/>
      <c r="L355" s="33"/>
      <c r="M355" s="189"/>
      <c r="N355" s="190"/>
      <c r="O355" s="190"/>
      <c r="P355" s="190"/>
      <c r="Q355" s="190"/>
      <c r="R355" s="190"/>
      <c r="S355" s="190"/>
      <c r="T355" s="191"/>
      <c r="AT355" s="18" t="s">
        <v>236</v>
      </c>
      <c r="AU355" s="18" t="s">
        <v>20</v>
      </c>
    </row>
    <row r="356" spans="2:65" s="1" customFormat="1" ht="6.95" customHeight="1" x14ac:dyDescent="0.3">
      <c r="B356" s="45"/>
      <c r="C356" s="46"/>
      <c r="D356" s="46"/>
      <c r="E356" s="46"/>
      <c r="F356" s="46"/>
      <c r="G356" s="46"/>
      <c r="H356" s="46"/>
      <c r="I356" s="188"/>
      <c r="J356" s="46"/>
      <c r="K356" s="46"/>
      <c r="L356" s="33"/>
    </row>
  </sheetData>
  <sheetProtection sheet="1" objects="1" scenarios="1"/>
  <autoFilter ref="C126:K355" xr:uid="{C76E5B9C-3ADD-4D30-ADDB-90E0651BD927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hyperlinks>
    <hyperlink ref="F131" r:id="rId1" xr:uid="{AB425510-193C-4163-A08E-3A835DDC6592}"/>
    <hyperlink ref="F134" r:id="rId2" xr:uid="{4A5971DF-684C-48D4-AB66-8676360E9845}"/>
    <hyperlink ref="F136" r:id="rId3" xr:uid="{28B2AF34-E0BF-4FB5-8E10-89BBFDAEBA6B}"/>
    <hyperlink ref="F143" r:id="rId4" xr:uid="{70264262-9919-44DB-9ACB-2124AAA27D1C}"/>
    <hyperlink ref="F146" r:id="rId5" xr:uid="{71F6CA8A-68B9-4890-BE75-597AB6BB1645}"/>
    <hyperlink ref="F151" r:id="rId6" xr:uid="{4E579103-2CE8-4B67-8236-17404456D75A}"/>
    <hyperlink ref="F154" r:id="rId7" xr:uid="{DE52805E-EF0D-4E7D-83E8-94F0CBBC9F25}"/>
    <hyperlink ref="F157" r:id="rId8" xr:uid="{ABD1313F-8930-4887-B80C-6262B44B1882}"/>
    <hyperlink ref="F162" r:id="rId9" xr:uid="{DBB6D5E5-B960-494F-AB61-44E5CA3B2364}"/>
    <hyperlink ref="F165" r:id="rId10" xr:uid="{5802409F-B38D-40DE-95B9-4ACC38886974}"/>
    <hyperlink ref="F170" r:id="rId11" xr:uid="{057D2F39-FA5B-4A66-BE5A-C685175ECB9C}"/>
    <hyperlink ref="F204" r:id="rId12" xr:uid="{6704EE5D-9C30-493E-B415-8BB344E1851B}"/>
    <hyperlink ref="F209" r:id="rId13" xr:uid="{2FCF6A35-6F1F-44A6-94A1-0EB2A0574808}"/>
    <hyperlink ref="F213" r:id="rId14" xr:uid="{2D8BED59-C65C-4690-A309-DAF035D4B0E6}"/>
    <hyperlink ref="F217" r:id="rId15" xr:uid="{C75490A3-7708-4D5D-BB01-17185BF8BDCE}"/>
    <hyperlink ref="F225" r:id="rId16" xr:uid="{3971D6B4-2E6E-4352-815D-FFE816005118}"/>
    <hyperlink ref="F230" r:id="rId17" xr:uid="{3BF10FC3-EEEE-4E49-8562-ECEBEB6DC194}"/>
    <hyperlink ref="F238" r:id="rId18" xr:uid="{DAC37C12-1F26-47B3-B6D4-C8E05145800C}"/>
    <hyperlink ref="F242" r:id="rId19" xr:uid="{0BE41826-7DC0-4569-AB97-3527CCA29332}"/>
    <hyperlink ref="F246" r:id="rId20" xr:uid="{4651FEC8-51BF-4E84-B732-103FF69DDC0C}"/>
    <hyperlink ref="F250" r:id="rId21" xr:uid="{528E68E6-6884-48BF-90E9-5798158C7284}"/>
    <hyperlink ref="F254" r:id="rId22" xr:uid="{576771B5-76B8-4B12-A727-099C90B121BA}"/>
    <hyperlink ref="F257" r:id="rId23" xr:uid="{00126237-CE30-48D9-BB48-A3C1E574CBED}"/>
    <hyperlink ref="F260" r:id="rId24" xr:uid="{FCCA8092-CC3E-454D-B5AF-4E5AB5794084}"/>
    <hyperlink ref="F263" r:id="rId25" xr:uid="{03164F25-F6B3-451B-A2B1-32B240F61E7A}"/>
    <hyperlink ref="F265" r:id="rId26" xr:uid="{692FA6F5-A1EB-428D-8BA5-E12420486D2B}"/>
    <hyperlink ref="F268" r:id="rId27" xr:uid="{A3D201DF-85FA-4C8C-BEFC-C08464EDB3F0}"/>
    <hyperlink ref="F272" r:id="rId28" xr:uid="{5B74884D-5FAC-4C76-B058-03CA39BABEB5}"/>
    <hyperlink ref="F277" r:id="rId29" xr:uid="{A3268F10-BBCC-4066-936C-C4B2E7922D92}"/>
    <hyperlink ref="F280" r:id="rId30" xr:uid="{1EE35D0B-90B7-45B4-BD64-290963BB01E2}"/>
    <hyperlink ref="F283" r:id="rId31" xr:uid="{DD7AEF3C-1A1B-4582-B1EC-983F594BE10C}"/>
    <hyperlink ref="F286" r:id="rId32" xr:uid="{FDD75A6A-E45E-4A63-B7CA-D8BB9227E289}"/>
    <hyperlink ref="F289" r:id="rId33" xr:uid="{4610CB68-A8CC-4E43-94D4-30BE08B114B3}"/>
    <hyperlink ref="F293" r:id="rId34" xr:uid="{62FE21BC-2DD2-4F8C-8469-756DB40CAB59}"/>
    <hyperlink ref="F296" r:id="rId35" xr:uid="{B8CBDFF7-BEA8-49AA-8E40-D53C2F63CB33}"/>
    <hyperlink ref="F306" r:id="rId36" xr:uid="{F5C1629E-9006-43F1-AE4E-2C2A8DDE0702}"/>
    <hyperlink ref="F311" r:id="rId37" xr:uid="{8BE49507-AB1B-4056-A33F-1EF122220F7B}"/>
    <hyperlink ref="F329" r:id="rId38" xr:uid="{D1322AC9-2B9A-4B24-9359-FCB3D52B4ACE}"/>
    <hyperlink ref="F332" r:id="rId39" xr:uid="{E6145F0D-5CA6-45FA-8919-C0FF8E8BF807}"/>
    <hyperlink ref="F339" r:id="rId40" xr:uid="{67911CF9-66BE-494B-8460-5AF0BFAC23E2}"/>
    <hyperlink ref="F342" r:id="rId41" xr:uid="{E918DB2F-B758-42A2-A80E-793F3CB26CB8}"/>
    <hyperlink ref="F346" r:id="rId42" xr:uid="{8E177752-FA0A-4D0E-B734-F6710E15BD16}"/>
    <hyperlink ref="F351" r:id="rId43" xr:uid="{DC267892-F407-42F4-B6C6-F44A6A16327A}"/>
    <hyperlink ref="F354" r:id="rId44" xr:uid="{DCB84319-F9C7-4BEF-A2F6-AD570EB2B48D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4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00E1E-BBCC-4FC0-96A1-25DD2FC06D71}">
  <sheetPr>
    <tabColor indexed="54"/>
    <pageSetUpPr fitToPage="1"/>
  </sheetPr>
  <dimension ref="B2:BM214"/>
  <sheetViews>
    <sheetView showGridLines="0" zoomScaleNormal="100" workbookViewId="0">
      <selection activeCell="V161" sqref="V161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107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1171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47.25" customHeight="1" x14ac:dyDescent="0.3">
      <c r="B27" s="95"/>
      <c r="E27" s="328" t="s">
        <v>1172</v>
      </c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ROUND(J124, 2)</f>
        <v>1621252.76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ROUND((SUM(BE124:BE213)),  2)</f>
        <v>1621252.76</v>
      </c>
      <c r="I33" s="99">
        <v>0.21</v>
      </c>
      <c r="J33" s="98">
        <f>ROUND(((SUM(BE124:BE213))*I33),  2)</f>
        <v>340463.08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ROUND((SUM(BF124:BF213)),  2)</f>
        <v>0</v>
      </c>
      <c r="I34" s="99">
        <v>0.15</v>
      </c>
      <c r="J34" s="98">
        <f>ROUND(((SUM(BF124:BF213))*I34),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ROUND((SUM(BG124:BG213)),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ROUND((SUM(BH124:BH213)),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ROUND((SUM(BI124:BI213)),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1961715.84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401.I - Veřejné osvětlení a rozhlas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J124</f>
        <v>1621252.7599999998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160</v>
      </c>
      <c r="E97" s="113"/>
      <c r="F97" s="113"/>
      <c r="G97" s="113"/>
      <c r="H97" s="113"/>
      <c r="I97" s="113"/>
      <c r="J97" s="114">
        <f>J125</f>
        <v>20402.91</v>
      </c>
      <c r="L97" s="111"/>
    </row>
    <row r="98" spans="2:12" s="9" customFormat="1" ht="19.899999999999999" customHeight="1" x14ac:dyDescent="0.3">
      <c r="B98" s="115"/>
      <c r="D98" s="116" t="s">
        <v>163</v>
      </c>
      <c r="E98" s="117"/>
      <c r="F98" s="117"/>
      <c r="G98" s="117"/>
      <c r="H98" s="117"/>
      <c r="I98" s="117"/>
      <c r="J98" s="118">
        <f>J126</f>
        <v>20402.91</v>
      </c>
      <c r="L98" s="115"/>
    </row>
    <row r="99" spans="2:12" s="8" customFormat="1" ht="24.95" customHeight="1" x14ac:dyDescent="0.3">
      <c r="B99" s="111"/>
      <c r="D99" s="112" t="s">
        <v>166</v>
      </c>
      <c r="E99" s="113"/>
      <c r="F99" s="113"/>
      <c r="G99" s="113"/>
      <c r="H99" s="113"/>
      <c r="I99" s="113"/>
      <c r="J99" s="114">
        <f>J129</f>
        <v>513206.92</v>
      </c>
      <c r="L99" s="111"/>
    </row>
    <row r="100" spans="2:12" s="9" customFormat="1" ht="19.899999999999999" customHeight="1" x14ac:dyDescent="0.3">
      <c r="B100" s="115"/>
      <c r="D100" s="116" t="s">
        <v>1173</v>
      </c>
      <c r="E100" s="117"/>
      <c r="F100" s="117"/>
      <c r="G100" s="117"/>
      <c r="H100" s="117"/>
      <c r="I100" s="117"/>
      <c r="J100" s="118">
        <f>J130</f>
        <v>513206.92</v>
      </c>
      <c r="L100" s="115"/>
    </row>
    <row r="101" spans="2:12" s="8" customFormat="1" ht="24.95" customHeight="1" x14ac:dyDescent="0.3">
      <c r="B101" s="111"/>
      <c r="D101" s="112" t="s">
        <v>1174</v>
      </c>
      <c r="E101" s="113"/>
      <c r="F101" s="113"/>
      <c r="G101" s="113"/>
      <c r="H101" s="113"/>
      <c r="I101" s="113"/>
      <c r="J101" s="114">
        <f>J164</f>
        <v>1087642.93</v>
      </c>
      <c r="L101" s="111"/>
    </row>
    <row r="102" spans="2:12" s="9" customFormat="1" ht="19.899999999999999" customHeight="1" x14ac:dyDescent="0.3">
      <c r="B102" s="115"/>
      <c r="D102" s="116" t="s">
        <v>1175</v>
      </c>
      <c r="E102" s="117"/>
      <c r="F102" s="117"/>
      <c r="G102" s="117"/>
      <c r="H102" s="117"/>
      <c r="I102" s="117"/>
      <c r="J102" s="118">
        <f>J165</f>
        <v>522523.64</v>
      </c>
      <c r="L102" s="115"/>
    </row>
    <row r="103" spans="2:12" s="9" customFormat="1" ht="19.899999999999999" customHeight="1" x14ac:dyDescent="0.3">
      <c r="B103" s="115"/>
      <c r="D103" s="116" t="s">
        <v>1176</v>
      </c>
      <c r="E103" s="117"/>
      <c r="F103" s="117"/>
      <c r="G103" s="117"/>
      <c r="H103" s="117"/>
      <c r="I103" s="117"/>
      <c r="J103" s="118">
        <f>J179</f>
        <v>150239.37</v>
      </c>
      <c r="L103" s="115"/>
    </row>
    <row r="104" spans="2:12" s="9" customFormat="1" ht="19.899999999999999" customHeight="1" x14ac:dyDescent="0.3">
      <c r="B104" s="115"/>
      <c r="D104" s="116" t="s">
        <v>1177</v>
      </c>
      <c r="E104" s="117"/>
      <c r="F104" s="117"/>
      <c r="G104" s="117"/>
      <c r="H104" s="117"/>
      <c r="I104" s="117"/>
      <c r="J104" s="118">
        <f>J185</f>
        <v>414879.92</v>
      </c>
      <c r="L104" s="115"/>
    </row>
    <row r="105" spans="2:12" s="1" customFormat="1" ht="21.75" customHeight="1" x14ac:dyDescent="0.3">
      <c r="B105" s="33"/>
      <c r="L105" s="33"/>
    </row>
    <row r="106" spans="2:12" s="1" customFormat="1" ht="6.95" customHeight="1" x14ac:dyDescent="0.3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3"/>
    </row>
    <row r="110" spans="2:12" s="1" customFormat="1" ht="6.95" customHeight="1" x14ac:dyDescent="0.3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3"/>
    </row>
    <row r="111" spans="2:12" s="1" customFormat="1" ht="24.95" customHeight="1" x14ac:dyDescent="0.3">
      <c r="B111" s="33"/>
      <c r="C111" s="22" t="s">
        <v>168</v>
      </c>
      <c r="L111" s="33"/>
    </row>
    <row r="112" spans="2:12" s="1" customFormat="1" ht="6.95" customHeight="1" x14ac:dyDescent="0.3">
      <c r="B112" s="33"/>
      <c r="L112" s="33"/>
    </row>
    <row r="113" spans="2:65" s="1" customFormat="1" ht="12" customHeight="1" x14ac:dyDescent="0.3">
      <c r="B113" s="33"/>
      <c r="C113" s="28" t="s">
        <v>15</v>
      </c>
      <c r="L113" s="33"/>
    </row>
    <row r="114" spans="2:65" s="1" customFormat="1" ht="16.5" customHeight="1" x14ac:dyDescent="0.3">
      <c r="B114" s="33"/>
      <c r="E114" s="324" t="str">
        <f>E7</f>
        <v>Obnova ulice Tyršova, Dobrovice - I. etapa</v>
      </c>
      <c r="F114" s="325"/>
      <c r="G114" s="325"/>
      <c r="H114" s="325"/>
      <c r="L114" s="33"/>
    </row>
    <row r="115" spans="2:65" s="1" customFormat="1" ht="12" customHeight="1" x14ac:dyDescent="0.3">
      <c r="B115" s="33"/>
      <c r="C115" s="28" t="s">
        <v>152</v>
      </c>
      <c r="L115" s="33"/>
    </row>
    <row r="116" spans="2:65" s="1" customFormat="1" ht="16.5" customHeight="1" x14ac:dyDescent="0.3">
      <c r="B116" s="33"/>
      <c r="E116" s="308" t="str">
        <f>E9</f>
        <v>SO 401.I - Veřejné osvětlení a rozhlas I. etapa</v>
      </c>
      <c r="F116" s="326"/>
      <c r="G116" s="326"/>
      <c r="H116" s="326"/>
      <c r="L116" s="33"/>
    </row>
    <row r="117" spans="2:65" s="1" customFormat="1" ht="6.95" customHeight="1" x14ac:dyDescent="0.3">
      <c r="B117" s="33"/>
      <c r="L117" s="33"/>
    </row>
    <row r="118" spans="2:65" s="1" customFormat="1" ht="12" customHeight="1" x14ac:dyDescent="0.3">
      <c r="B118" s="33"/>
      <c r="C118" s="28" t="s">
        <v>21</v>
      </c>
      <c r="F118" s="26" t="str">
        <f>F12</f>
        <v>Dobrovice</v>
      </c>
      <c r="I118" s="28" t="s">
        <v>23</v>
      </c>
      <c r="J118" s="53">
        <f>IF(J12="","",J12)</f>
        <v>45678</v>
      </c>
      <c r="L118" s="33"/>
    </row>
    <row r="119" spans="2:65" s="1" customFormat="1" ht="6.95" customHeight="1" x14ac:dyDescent="0.3">
      <c r="B119" s="33"/>
      <c r="L119" s="33"/>
    </row>
    <row r="120" spans="2:65" s="1" customFormat="1" ht="25.7" customHeight="1" x14ac:dyDescent="0.3">
      <c r="B120" s="33"/>
      <c r="C120" s="28" t="s">
        <v>28</v>
      </c>
      <c r="F120" s="26" t="str">
        <f>E15</f>
        <v>Město Dobrovice, Palckého nám. 28, 294 41</v>
      </c>
      <c r="I120" s="28" t="s">
        <v>34</v>
      </c>
      <c r="J120" s="96" t="str">
        <f>E21</f>
        <v>Ing. arch. Martin Jirovský Ph.D., MBA</v>
      </c>
      <c r="L120" s="33"/>
    </row>
    <row r="121" spans="2:65" s="1" customFormat="1" ht="40.15" customHeight="1" x14ac:dyDescent="0.3">
      <c r="B121" s="33"/>
      <c r="C121" s="28" t="s">
        <v>33</v>
      </c>
      <c r="F121" s="26">
        <f>IF(E18="","",E18)</f>
        <v>0</v>
      </c>
      <c r="I121" s="28" t="s">
        <v>38</v>
      </c>
      <c r="J121" s="96" t="str">
        <f>E24</f>
        <v>ROAD M.A.A.T. s.r.o., Petra Stejskalová</v>
      </c>
      <c r="L121" s="33"/>
    </row>
    <row r="122" spans="2:65" s="1" customFormat="1" ht="10.35" customHeight="1" x14ac:dyDescent="0.3">
      <c r="B122" s="33"/>
      <c r="L122" s="33"/>
    </row>
    <row r="123" spans="2:65" s="10" customFormat="1" ht="29.25" customHeight="1" x14ac:dyDescent="0.3">
      <c r="B123" s="119"/>
      <c r="C123" s="120" t="s">
        <v>169</v>
      </c>
      <c r="D123" s="121" t="s">
        <v>66</v>
      </c>
      <c r="E123" s="121" t="s">
        <v>63</v>
      </c>
      <c r="F123" s="121" t="s">
        <v>170</v>
      </c>
      <c r="G123" s="121" t="s">
        <v>171</v>
      </c>
      <c r="H123" s="121" t="s">
        <v>172</v>
      </c>
      <c r="I123" s="121" t="s">
        <v>173</v>
      </c>
      <c r="J123" s="121" t="s">
        <v>157</v>
      </c>
      <c r="K123" s="122" t="s">
        <v>174</v>
      </c>
      <c r="L123" s="119"/>
      <c r="M123" s="60" t="s">
        <v>1</v>
      </c>
      <c r="N123" s="61" t="s">
        <v>46</v>
      </c>
      <c r="O123" s="61" t="s">
        <v>175</v>
      </c>
      <c r="P123" s="61" t="s">
        <v>176</v>
      </c>
      <c r="Q123" s="61" t="s">
        <v>177</v>
      </c>
      <c r="R123" s="61" t="s">
        <v>178</v>
      </c>
      <c r="S123" s="61" t="s">
        <v>179</v>
      </c>
      <c r="T123" s="62" t="s">
        <v>180</v>
      </c>
    </row>
    <row r="124" spans="2:65" s="1" customFormat="1" ht="22.9" customHeight="1" x14ac:dyDescent="0.25">
      <c r="B124" s="33"/>
      <c r="C124" s="65" t="s">
        <v>181</v>
      </c>
      <c r="J124" s="123">
        <f>BK124</f>
        <v>1621252.7599999998</v>
      </c>
      <c r="L124" s="33"/>
      <c r="M124" s="63"/>
      <c r="N124" s="54"/>
      <c r="O124" s="54"/>
      <c r="P124" s="124">
        <f>P125+P129+P164</f>
        <v>684.91130199999998</v>
      </c>
      <c r="Q124" s="54"/>
      <c r="R124" s="124">
        <f>R125+R129+R164</f>
        <v>161.87117799999999</v>
      </c>
      <c r="S124" s="54"/>
      <c r="T124" s="125">
        <f>T125+T129+T164</f>
        <v>0</v>
      </c>
      <c r="AT124" s="18" t="s">
        <v>80</v>
      </c>
      <c r="AU124" s="18" t="s">
        <v>159</v>
      </c>
      <c r="BK124" s="126">
        <f>BK125+BK129+BK164</f>
        <v>1621252.7599999998</v>
      </c>
    </row>
    <row r="125" spans="2:65" s="11" customFormat="1" ht="25.9" customHeight="1" x14ac:dyDescent="0.2">
      <c r="B125" s="127"/>
      <c r="D125" s="128" t="s">
        <v>80</v>
      </c>
      <c r="E125" s="129" t="s">
        <v>182</v>
      </c>
      <c r="F125" s="129" t="s">
        <v>183</v>
      </c>
      <c r="J125" s="130">
        <f>BK125</f>
        <v>20402.91</v>
      </c>
      <c r="L125" s="127"/>
      <c r="M125" s="131"/>
      <c r="P125" s="132">
        <f>P126</f>
        <v>12.649999999999999</v>
      </c>
      <c r="R125" s="132">
        <f>R126</f>
        <v>0</v>
      </c>
      <c r="T125" s="133">
        <f>T126</f>
        <v>0</v>
      </c>
      <c r="AR125" s="128" t="s">
        <v>88</v>
      </c>
      <c r="AT125" s="134" t="s">
        <v>80</v>
      </c>
      <c r="AU125" s="134" t="s">
        <v>81</v>
      </c>
      <c r="AY125" s="128" t="s">
        <v>184</v>
      </c>
      <c r="BK125" s="135">
        <f>BK126</f>
        <v>20402.91</v>
      </c>
    </row>
    <row r="126" spans="2:65" s="11" customFormat="1" ht="22.9" customHeight="1" x14ac:dyDescent="0.2">
      <c r="B126" s="127"/>
      <c r="D126" s="128" t="s">
        <v>80</v>
      </c>
      <c r="E126" s="136" t="s">
        <v>245</v>
      </c>
      <c r="F126" s="136" t="s">
        <v>304</v>
      </c>
      <c r="J126" s="137">
        <f>BK126</f>
        <v>20402.91</v>
      </c>
      <c r="L126" s="127"/>
      <c r="M126" s="131"/>
      <c r="P126" s="132">
        <f>SUM(P127:P128)</f>
        <v>12.649999999999999</v>
      </c>
      <c r="R126" s="132">
        <f>SUM(R127:R128)</f>
        <v>0</v>
      </c>
      <c r="T126" s="133">
        <f>SUM(T127:T128)</f>
        <v>0</v>
      </c>
      <c r="AR126" s="128" t="s">
        <v>88</v>
      </c>
      <c r="AT126" s="134" t="s">
        <v>80</v>
      </c>
      <c r="AU126" s="134" t="s">
        <v>88</v>
      </c>
      <c r="AY126" s="128" t="s">
        <v>184</v>
      </c>
      <c r="BK126" s="135">
        <f>SUM(BK127:BK128)</f>
        <v>20402.91</v>
      </c>
    </row>
    <row r="127" spans="2:65" s="1" customFormat="1" ht="16.5" customHeight="1" x14ac:dyDescent="0.3">
      <c r="B127" s="33"/>
      <c r="C127" s="138" t="s">
        <v>88</v>
      </c>
      <c r="D127" s="138" t="s">
        <v>186</v>
      </c>
      <c r="E127" s="139" t="s">
        <v>1178</v>
      </c>
      <c r="F127" s="140" t="s">
        <v>1179</v>
      </c>
      <c r="G127" s="141" t="s">
        <v>754</v>
      </c>
      <c r="H127" s="142">
        <v>11</v>
      </c>
      <c r="I127" s="143">
        <v>1854.81</v>
      </c>
      <c r="J127" s="144">
        <f>ROUND(I127*H127,2)</f>
        <v>20402.91</v>
      </c>
      <c r="K127" s="140" t="s">
        <v>190</v>
      </c>
      <c r="L127" s="33"/>
      <c r="M127" s="145" t="s">
        <v>1</v>
      </c>
      <c r="N127" s="146" t="s">
        <v>47</v>
      </c>
      <c r="O127" s="147">
        <v>1.1499999999999999</v>
      </c>
      <c r="P127" s="147">
        <f>O127*H127</f>
        <v>12.649999999999999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191</v>
      </c>
      <c r="AT127" s="149" t="s">
        <v>186</v>
      </c>
      <c r="AU127" s="149" t="s">
        <v>20</v>
      </c>
      <c r="AY127" s="18" t="s">
        <v>184</v>
      </c>
      <c r="BE127" s="150">
        <f>IF(N127="základní",J127,0)</f>
        <v>20402.91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8" t="s">
        <v>88</v>
      </c>
      <c r="BK127" s="150">
        <f>ROUND(I127*H127,2)</f>
        <v>20402.91</v>
      </c>
      <c r="BL127" s="18" t="s">
        <v>191</v>
      </c>
      <c r="BM127" s="149" t="s">
        <v>1180</v>
      </c>
    </row>
    <row r="128" spans="2:65" s="1" customFormat="1" x14ac:dyDescent="0.3">
      <c r="B128" s="33"/>
      <c r="D128" s="151" t="s">
        <v>193</v>
      </c>
      <c r="F128" s="152" t="s">
        <v>1181</v>
      </c>
      <c r="I128" s="153"/>
      <c r="L128" s="33"/>
      <c r="M128" s="154"/>
      <c r="T128" s="57"/>
      <c r="AT128" s="18" t="s">
        <v>193</v>
      </c>
      <c r="AU128" s="18" t="s">
        <v>20</v>
      </c>
    </row>
    <row r="129" spans="2:65" s="11" customFormat="1" ht="25.9" customHeight="1" x14ac:dyDescent="0.2">
      <c r="B129" s="127"/>
      <c r="D129" s="128" t="s">
        <v>80</v>
      </c>
      <c r="E129" s="129" t="s">
        <v>381</v>
      </c>
      <c r="F129" s="129" t="s">
        <v>382</v>
      </c>
      <c r="I129" s="171"/>
      <c r="J129" s="130">
        <f>BK129</f>
        <v>513206.92</v>
      </c>
      <c r="L129" s="127"/>
      <c r="M129" s="131"/>
      <c r="P129" s="132">
        <f>P130</f>
        <v>311.26483000000002</v>
      </c>
      <c r="R129" s="132">
        <f>R130</f>
        <v>1.190258</v>
      </c>
      <c r="T129" s="133">
        <f>T130</f>
        <v>0</v>
      </c>
      <c r="AR129" s="128" t="s">
        <v>20</v>
      </c>
      <c r="AT129" s="134" t="s">
        <v>80</v>
      </c>
      <c r="AU129" s="134" t="s">
        <v>81</v>
      </c>
      <c r="AY129" s="128" t="s">
        <v>184</v>
      </c>
      <c r="BK129" s="135">
        <f>BK130</f>
        <v>513206.92</v>
      </c>
    </row>
    <row r="130" spans="2:65" s="11" customFormat="1" ht="22.9" customHeight="1" x14ac:dyDescent="0.2">
      <c r="B130" s="127"/>
      <c r="D130" s="128" t="s">
        <v>80</v>
      </c>
      <c r="E130" s="136" t="s">
        <v>1182</v>
      </c>
      <c r="F130" s="136" t="s">
        <v>1183</v>
      </c>
      <c r="I130" s="171"/>
      <c r="J130" s="137">
        <f>BK130</f>
        <v>513206.92</v>
      </c>
      <c r="L130" s="127"/>
      <c r="M130" s="131"/>
      <c r="P130" s="132">
        <f>SUM(P131:P163)</f>
        <v>311.26483000000002</v>
      </c>
      <c r="R130" s="132">
        <f>SUM(R131:R163)</f>
        <v>1.190258</v>
      </c>
      <c r="T130" s="133">
        <f>SUM(T131:T163)</f>
        <v>0</v>
      </c>
      <c r="AR130" s="128" t="s">
        <v>20</v>
      </c>
      <c r="AT130" s="134" t="s">
        <v>80</v>
      </c>
      <c r="AU130" s="134" t="s">
        <v>88</v>
      </c>
      <c r="AY130" s="128" t="s">
        <v>184</v>
      </c>
      <c r="BK130" s="135">
        <f>SUM(BK131:BK163)</f>
        <v>513206.92</v>
      </c>
    </row>
    <row r="131" spans="2:65" s="1" customFormat="1" ht="16.5" customHeight="1" x14ac:dyDescent="0.3">
      <c r="B131" s="33"/>
      <c r="C131" s="138" t="s">
        <v>20</v>
      </c>
      <c r="D131" s="138" t="s">
        <v>186</v>
      </c>
      <c r="E131" s="139" t="s">
        <v>1184</v>
      </c>
      <c r="F131" s="140" t="s">
        <v>1185</v>
      </c>
      <c r="G131" s="141" t="s">
        <v>210</v>
      </c>
      <c r="H131" s="142">
        <v>752</v>
      </c>
      <c r="I131" s="143">
        <v>128.41</v>
      </c>
      <c r="J131" s="144">
        <f>ROUND(I131*H131,2)</f>
        <v>96564.32</v>
      </c>
      <c r="K131" s="140" t="s">
        <v>190</v>
      </c>
      <c r="L131" s="33"/>
      <c r="M131" s="145" t="s">
        <v>1</v>
      </c>
      <c r="N131" s="146" t="s">
        <v>47</v>
      </c>
      <c r="O131" s="147">
        <v>0.13100000000000001</v>
      </c>
      <c r="P131" s="147">
        <f>O131*H131</f>
        <v>98.512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AR131" s="149" t="s">
        <v>287</v>
      </c>
      <c r="AT131" s="149" t="s">
        <v>186</v>
      </c>
      <c r="AU131" s="149" t="s">
        <v>20</v>
      </c>
      <c r="AY131" s="18" t="s">
        <v>184</v>
      </c>
      <c r="BE131" s="150">
        <f>IF(N131="základní",J131,0)</f>
        <v>96564.32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8" t="s">
        <v>88</v>
      </c>
      <c r="BK131" s="150">
        <f>ROUND(I131*H131,2)</f>
        <v>96564.32</v>
      </c>
      <c r="BL131" s="18" t="s">
        <v>287</v>
      </c>
      <c r="BM131" s="149" t="s">
        <v>1186</v>
      </c>
    </row>
    <row r="132" spans="2:65" s="1" customFormat="1" x14ac:dyDescent="0.3">
      <c r="B132" s="33"/>
      <c r="D132" s="151" t="s">
        <v>193</v>
      </c>
      <c r="F132" s="152" t="s">
        <v>1187</v>
      </c>
      <c r="I132" s="153"/>
      <c r="L132" s="33"/>
      <c r="M132" s="154"/>
      <c r="T132" s="57"/>
      <c r="AT132" s="18" t="s">
        <v>193</v>
      </c>
      <c r="AU132" s="18" t="s">
        <v>20</v>
      </c>
    </row>
    <row r="133" spans="2:65" s="1" customFormat="1" ht="16.5" customHeight="1" x14ac:dyDescent="0.3">
      <c r="B133" s="33"/>
      <c r="C133" s="172" t="s">
        <v>202</v>
      </c>
      <c r="D133" s="172" t="s">
        <v>271</v>
      </c>
      <c r="E133" s="173" t="s">
        <v>1188</v>
      </c>
      <c r="F133" s="174" t="s">
        <v>1189</v>
      </c>
      <c r="G133" s="175" t="s">
        <v>210</v>
      </c>
      <c r="H133" s="176">
        <v>789.6</v>
      </c>
      <c r="I133" s="177">
        <v>23.26</v>
      </c>
      <c r="J133" s="178">
        <f>ROUND(I133*H133,2)</f>
        <v>18366.099999999999</v>
      </c>
      <c r="K133" s="174" t="s">
        <v>1</v>
      </c>
      <c r="L133" s="179"/>
      <c r="M133" s="180" t="s">
        <v>1</v>
      </c>
      <c r="N133" s="181" t="s">
        <v>47</v>
      </c>
      <c r="O133" s="147">
        <v>0</v>
      </c>
      <c r="P133" s="147">
        <f>O133*H133</f>
        <v>0</v>
      </c>
      <c r="Q133" s="147">
        <v>2.7E-4</v>
      </c>
      <c r="R133" s="147">
        <f>Q133*H133</f>
        <v>0.21319200000000002</v>
      </c>
      <c r="S133" s="147">
        <v>0</v>
      </c>
      <c r="T133" s="148">
        <f>S133*H133</f>
        <v>0</v>
      </c>
      <c r="AR133" s="149" t="s">
        <v>392</v>
      </c>
      <c r="AT133" s="149" t="s">
        <v>271</v>
      </c>
      <c r="AU133" s="149" t="s">
        <v>20</v>
      </c>
      <c r="AY133" s="18" t="s">
        <v>184</v>
      </c>
      <c r="BE133" s="150">
        <f>IF(N133="základní",J133,0)</f>
        <v>18366.099999999999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8" t="s">
        <v>88</v>
      </c>
      <c r="BK133" s="150">
        <f>ROUND(I133*H133,2)</f>
        <v>18366.099999999999</v>
      </c>
      <c r="BL133" s="18" t="s">
        <v>287</v>
      </c>
      <c r="BM133" s="149" t="s">
        <v>1190</v>
      </c>
    </row>
    <row r="134" spans="2:65" s="12" customFormat="1" ht="11.25" x14ac:dyDescent="0.3">
      <c r="B134" s="155"/>
      <c r="D134" s="156" t="s">
        <v>195</v>
      </c>
      <c r="E134" s="157" t="s">
        <v>1</v>
      </c>
      <c r="F134" s="158" t="s">
        <v>1191</v>
      </c>
      <c r="H134" s="159">
        <v>789.6</v>
      </c>
      <c r="I134" s="160"/>
      <c r="L134" s="155"/>
      <c r="M134" s="161"/>
      <c r="T134" s="162"/>
      <c r="AT134" s="157" t="s">
        <v>195</v>
      </c>
      <c r="AU134" s="157" t="s">
        <v>20</v>
      </c>
      <c r="AV134" s="12" t="s">
        <v>20</v>
      </c>
      <c r="AW134" s="12" t="s">
        <v>37</v>
      </c>
      <c r="AX134" s="12" t="s">
        <v>88</v>
      </c>
      <c r="AY134" s="157" t="s">
        <v>184</v>
      </c>
    </row>
    <row r="135" spans="2:65" s="1" customFormat="1" ht="16.5" customHeight="1" x14ac:dyDescent="0.3">
      <c r="B135" s="33"/>
      <c r="C135" s="138" t="s">
        <v>191</v>
      </c>
      <c r="D135" s="138" t="s">
        <v>186</v>
      </c>
      <c r="E135" s="139" t="s">
        <v>1192</v>
      </c>
      <c r="F135" s="140" t="s">
        <v>1193</v>
      </c>
      <c r="G135" s="141" t="s">
        <v>210</v>
      </c>
      <c r="H135" s="142">
        <v>11</v>
      </c>
      <c r="I135" s="143">
        <v>214.02</v>
      </c>
      <c r="J135" s="144">
        <f>ROUND(I135*H135,2)</f>
        <v>2354.2199999999998</v>
      </c>
      <c r="K135" s="140" t="s">
        <v>190</v>
      </c>
      <c r="L135" s="33"/>
      <c r="M135" s="145" t="s">
        <v>1</v>
      </c>
      <c r="N135" s="146" t="s">
        <v>47</v>
      </c>
      <c r="O135" s="147">
        <v>0.21</v>
      </c>
      <c r="P135" s="147">
        <f>O135*H135</f>
        <v>2.31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49" t="s">
        <v>287</v>
      </c>
      <c r="AT135" s="149" t="s">
        <v>186</v>
      </c>
      <c r="AU135" s="149" t="s">
        <v>20</v>
      </c>
      <c r="AY135" s="18" t="s">
        <v>184</v>
      </c>
      <c r="BE135" s="150">
        <f>IF(N135="základní",J135,0)</f>
        <v>2354.2199999999998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8" t="s">
        <v>88</v>
      </c>
      <c r="BK135" s="150">
        <f>ROUND(I135*H135,2)</f>
        <v>2354.2199999999998</v>
      </c>
      <c r="BL135" s="18" t="s">
        <v>287</v>
      </c>
      <c r="BM135" s="149" t="s">
        <v>1194</v>
      </c>
    </row>
    <row r="136" spans="2:65" s="1" customFormat="1" x14ac:dyDescent="0.3">
      <c r="B136" s="33"/>
      <c r="D136" s="151" t="s">
        <v>193</v>
      </c>
      <c r="F136" s="152" t="s">
        <v>1195</v>
      </c>
      <c r="I136" s="153"/>
      <c r="L136" s="33"/>
      <c r="M136" s="154"/>
      <c r="T136" s="57"/>
      <c r="AT136" s="18" t="s">
        <v>193</v>
      </c>
      <c r="AU136" s="18" t="s">
        <v>20</v>
      </c>
    </row>
    <row r="137" spans="2:65" s="1" customFormat="1" ht="16.5" customHeight="1" x14ac:dyDescent="0.3">
      <c r="B137" s="33"/>
      <c r="C137" s="172" t="s">
        <v>214</v>
      </c>
      <c r="D137" s="172" t="s">
        <v>271</v>
      </c>
      <c r="E137" s="173" t="s">
        <v>1196</v>
      </c>
      <c r="F137" s="174" t="s">
        <v>1197</v>
      </c>
      <c r="G137" s="175" t="s">
        <v>210</v>
      </c>
      <c r="H137" s="176">
        <v>11.55</v>
      </c>
      <c r="I137" s="177">
        <v>498.54</v>
      </c>
      <c r="J137" s="178">
        <f>ROUND(I137*H137,2)</f>
        <v>5758.14</v>
      </c>
      <c r="K137" s="174" t="s">
        <v>658</v>
      </c>
      <c r="L137" s="179"/>
      <c r="M137" s="180" t="s">
        <v>1</v>
      </c>
      <c r="N137" s="181" t="s">
        <v>47</v>
      </c>
      <c r="O137" s="147">
        <v>0</v>
      </c>
      <c r="P137" s="147">
        <f>O137*H137</f>
        <v>0</v>
      </c>
      <c r="Q137" s="147">
        <v>8.1399999999999997E-3</v>
      </c>
      <c r="R137" s="147">
        <f>Q137*H137</f>
        <v>9.4017000000000003E-2</v>
      </c>
      <c r="S137" s="147">
        <v>0</v>
      </c>
      <c r="T137" s="148">
        <f>S137*H137</f>
        <v>0</v>
      </c>
      <c r="AR137" s="149" t="s">
        <v>392</v>
      </c>
      <c r="AT137" s="149" t="s">
        <v>271</v>
      </c>
      <c r="AU137" s="149" t="s">
        <v>20</v>
      </c>
      <c r="AY137" s="18" t="s">
        <v>184</v>
      </c>
      <c r="BE137" s="150">
        <f>IF(N137="základní",J137,0)</f>
        <v>5758.14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8" t="s">
        <v>88</v>
      </c>
      <c r="BK137" s="150">
        <f>ROUND(I137*H137,2)</f>
        <v>5758.14</v>
      </c>
      <c r="BL137" s="18" t="s">
        <v>287</v>
      </c>
      <c r="BM137" s="149" t="s">
        <v>1198</v>
      </c>
    </row>
    <row r="138" spans="2:65" s="12" customFormat="1" ht="11.25" x14ac:dyDescent="0.3">
      <c r="B138" s="155"/>
      <c r="D138" s="156" t="s">
        <v>195</v>
      </c>
      <c r="E138" s="157" t="s">
        <v>1</v>
      </c>
      <c r="F138" s="158" t="s">
        <v>1199</v>
      </c>
      <c r="H138" s="159">
        <v>11.55</v>
      </c>
      <c r="I138" s="160"/>
      <c r="L138" s="155"/>
      <c r="M138" s="161"/>
      <c r="T138" s="162"/>
      <c r="AT138" s="157" t="s">
        <v>195</v>
      </c>
      <c r="AU138" s="157" t="s">
        <v>20</v>
      </c>
      <c r="AV138" s="12" t="s">
        <v>20</v>
      </c>
      <c r="AW138" s="12" t="s">
        <v>37</v>
      </c>
      <c r="AX138" s="12" t="s">
        <v>88</v>
      </c>
      <c r="AY138" s="157" t="s">
        <v>184</v>
      </c>
    </row>
    <row r="139" spans="2:65" s="1" customFormat="1" ht="16.5" customHeight="1" x14ac:dyDescent="0.3">
      <c r="B139" s="33"/>
      <c r="C139" s="138" t="s">
        <v>221</v>
      </c>
      <c r="D139" s="138" t="s">
        <v>186</v>
      </c>
      <c r="E139" s="139" t="s">
        <v>1200</v>
      </c>
      <c r="F139" s="140" t="s">
        <v>1201</v>
      </c>
      <c r="G139" s="141" t="s">
        <v>210</v>
      </c>
      <c r="H139" s="142">
        <v>66</v>
      </c>
      <c r="I139" s="143">
        <v>142.68</v>
      </c>
      <c r="J139" s="144">
        <f>ROUND(I139*H139,2)</f>
        <v>9416.8799999999992</v>
      </c>
      <c r="K139" s="140" t="s">
        <v>658</v>
      </c>
      <c r="L139" s="33"/>
      <c r="M139" s="145" t="s">
        <v>1</v>
      </c>
      <c r="N139" s="146" t="s">
        <v>47</v>
      </c>
      <c r="O139" s="147">
        <v>9.8000000000000004E-2</v>
      </c>
      <c r="P139" s="147">
        <f>O139*H139</f>
        <v>6.468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AR139" s="149" t="s">
        <v>287</v>
      </c>
      <c r="AT139" s="149" t="s">
        <v>186</v>
      </c>
      <c r="AU139" s="149" t="s">
        <v>20</v>
      </c>
      <c r="AY139" s="18" t="s">
        <v>184</v>
      </c>
      <c r="BE139" s="150">
        <f>IF(N139="základní",J139,0)</f>
        <v>9416.8799999999992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8" t="s">
        <v>88</v>
      </c>
      <c r="BK139" s="150">
        <f>ROUND(I139*H139,2)</f>
        <v>9416.8799999999992</v>
      </c>
      <c r="BL139" s="18" t="s">
        <v>287</v>
      </c>
      <c r="BM139" s="149" t="s">
        <v>1202</v>
      </c>
    </row>
    <row r="140" spans="2:65" s="1" customFormat="1" ht="16.5" customHeight="1" x14ac:dyDescent="0.3">
      <c r="B140" s="33"/>
      <c r="C140" s="172" t="s">
        <v>231</v>
      </c>
      <c r="D140" s="172" t="s">
        <v>271</v>
      </c>
      <c r="E140" s="173" t="s">
        <v>1203</v>
      </c>
      <c r="F140" s="174" t="s">
        <v>1204</v>
      </c>
      <c r="G140" s="175" t="s">
        <v>210</v>
      </c>
      <c r="H140" s="176">
        <v>75.900000000000006</v>
      </c>
      <c r="I140" s="177">
        <v>28.53</v>
      </c>
      <c r="J140" s="178">
        <f>ROUND(I140*H140,2)</f>
        <v>2165.4299999999998</v>
      </c>
      <c r="K140" s="174" t="s">
        <v>658</v>
      </c>
      <c r="L140" s="179"/>
      <c r="M140" s="180" t="s">
        <v>1</v>
      </c>
      <c r="N140" s="181" t="s">
        <v>47</v>
      </c>
      <c r="O140" s="147">
        <v>0</v>
      </c>
      <c r="P140" s="147">
        <f>O140*H140</f>
        <v>0</v>
      </c>
      <c r="Q140" s="147">
        <v>1.2E-4</v>
      </c>
      <c r="R140" s="147">
        <f>Q140*H140</f>
        <v>9.1080000000000015E-3</v>
      </c>
      <c r="S140" s="147">
        <v>0</v>
      </c>
      <c r="T140" s="148">
        <f>S140*H140</f>
        <v>0</v>
      </c>
      <c r="AR140" s="149" t="s">
        <v>392</v>
      </c>
      <c r="AT140" s="149" t="s">
        <v>271</v>
      </c>
      <c r="AU140" s="149" t="s">
        <v>20</v>
      </c>
      <c r="AY140" s="18" t="s">
        <v>184</v>
      </c>
      <c r="BE140" s="150">
        <f>IF(N140="základní",J140,0)</f>
        <v>2165.4299999999998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8" t="s">
        <v>88</v>
      </c>
      <c r="BK140" s="150">
        <f>ROUND(I140*H140,2)</f>
        <v>2165.4299999999998</v>
      </c>
      <c r="BL140" s="18" t="s">
        <v>287</v>
      </c>
      <c r="BM140" s="149" t="s">
        <v>1205</v>
      </c>
    </row>
    <row r="141" spans="2:65" s="12" customFormat="1" ht="11.25" x14ac:dyDescent="0.3">
      <c r="B141" s="155"/>
      <c r="D141" s="156" t="s">
        <v>195</v>
      </c>
      <c r="E141" s="157" t="s">
        <v>1</v>
      </c>
      <c r="F141" s="158" t="s">
        <v>1206</v>
      </c>
      <c r="H141" s="159">
        <v>75.900000000000006</v>
      </c>
      <c r="I141" s="160"/>
      <c r="L141" s="155"/>
      <c r="M141" s="161"/>
      <c r="T141" s="162"/>
      <c r="AT141" s="157" t="s">
        <v>195</v>
      </c>
      <c r="AU141" s="157" t="s">
        <v>20</v>
      </c>
      <c r="AV141" s="12" t="s">
        <v>20</v>
      </c>
      <c r="AW141" s="12" t="s">
        <v>37</v>
      </c>
      <c r="AX141" s="12" t="s">
        <v>88</v>
      </c>
      <c r="AY141" s="157" t="s">
        <v>184</v>
      </c>
    </row>
    <row r="142" spans="2:65" s="1" customFormat="1" ht="16.5" customHeight="1" x14ac:dyDescent="0.3">
      <c r="B142" s="33"/>
      <c r="C142" s="138" t="s">
        <v>239</v>
      </c>
      <c r="D142" s="138" t="s">
        <v>186</v>
      </c>
      <c r="E142" s="139" t="s">
        <v>1207</v>
      </c>
      <c r="F142" s="140" t="s">
        <v>1208</v>
      </c>
      <c r="G142" s="141" t="s">
        <v>210</v>
      </c>
      <c r="H142" s="142">
        <v>330</v>
      </c>
      <c r="I142" s="143">
        <v>128.41</v>
      </c>
      <c r="J142" s="144">
        <f>ROUND(I142*H142,2)</f>
        <v>42375.3</v>
      </c>
      <c r="K142" s="140" t="s">
        <v>190</v>
      </c>
      <c r="L142" s="33"/>
      <c r="M142" s="145" t="s">
        <v>1</v>
      </c>
      <c r="N142" s="146" t="s">
        <v>47</v>
      </c>
      <c r="O142" s="147">
        <v>9.8000000000000004E-2</v>
      </c>
      <c r="P142" s="147">
        <f>O142*H142</f>
        <v>32.340000000000003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AR142" s="149" t="s">
        <v>287</v>
      </c>
      <c r="AT142" s="149" t="s">
        <v>186</v>
      </c>
      <c r="AU142" s="149" t="s">
        <v>20</v>
      </c>
      <c r="AY142" s="18" t="s">
        <v>184</v>
      </c>
      <c r="BE142" s="150">
        <f>IF(N142="základní",J142,0)</f>
        <v>42375.3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8" t="s">
        <v>88</v>
      </c>
      <c r="BK142" s="150">
        <f>ROUND(I142*H142,2)</f>
        <v>42375.3</v>
      </c>
      <c r="BL142" s="18" t="s">
        <v>287</v>
      </c>
      <c r="BM142" s="149" t="s">
        <v>1209</v>
      </c>
    </row>
    <row r="143" spans="2:65" s="1" customFormat="1" x14ac:dyDescent="0.3">
      <c r="B143" s="33"/>
      <c r="D143" s="151" t="s">
        <v>193</v>
      </c>
      <c r="F143" s="152" t="s">
        <v>1210</v>
      </c>
      <c r="I143" s="153"/>
      <c r="L143" s="33"/>
      <c r="M143" s="154"/>
      <c r="T143" s="57"/>
      <c r="AT143" s="18" t="s">
        <v>193</v>
      </c>
      <c r="AU143" s="18" t="s">
        <v>20</v>
      </c>
    </row>
    <row r="144" spans="2:65" s="1" customFormat="1" ht="16.5" customHeight="1" x14ac:dyDescent="0.3">
      <c r="B144" s="33"/>
      <c r="C144" s="172" t="s">
        <v>245</v>
      </c>
      <c r="D144" s="172" t="s">
        <v>271</v>
      </c>
      <c r="E144" s="173" t="s">
        <v>1211</v>
      </c>
      <c r="F144" s="174" t="s">
        <v>1212</v>
      </c>
      <c r="G144" s="175" t="s">
        <v>210</v>
      </c>
      <c r="H144" s="176">
        <v>379.5</v>
      </c>
      <c r="I144" s="177">
        <v>85.61</v>
      </c>
      <c r="J144" s="178">
        <f>ROUND(I144*H144,2)</f>
        <v>32489</v>
      </c>
      <c r="K144" s="174" t="s">
        <v>190</v>
      </c>
      <c r="L144" s="179"/>
      <c r="M144" s="180" t="s">
        <v>1</v>
      </c>
      <c r="N144" s="181" t="s">
        <v>47</v>
      </c>
      <c r="O144" s="147">
        <v>0</v>
      </c>
      <c r="P144" s="147">
        <f>O144*H144</f>
        <v>0</v>
      </c>
      <c r="Q144" s="147">
        <v>2.9E-4</v>
      </c>
      <c r="R144" s="147">
        <f>Q144*H144</f>
        <v>0.110055</v>
      </c>
      <c r="S144" s="147">
        <v>0</v>
      </c>
      <c r="T144" s="148">
        <f>S144*H144</f>
        <v>0</v>
      </c>
      <c r="AR144" s="149" t="s">
        <v>392</v>
      </c>
      <c r="AT144" s="149" t="s">
        <v>271</v>
      </c>
      <c r="AU144" s="149" t="s">
        <v>20</v>
      </c>
      <c r="AY144" s="18" t="s">
        <v>184</v>
      </c>
      <c r="BE144" s="150">
        <f>IF(N144="základní",J144,0)</f>
        <v>32489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8" t="s">
        <v>88</v>
      </c>
      <c r="BK144" s="150">
        <f>ROUND(I144*H144,2)</f>
        <v>32489</v>
      </c>
      <c r="BL144" s="18" t="s">
        <v>287</v>
      </c>
      <c r="BM144" s="149" t="s">
        <v>1213</v>
      </c>
    </row>
    <row r="145" spans="2:65" s="12" customFormat="1" ht="11.25" x14ac:dyDescent="0.3">
      <c r="B145" s="155"/>
      <c r="D145" s="156" t="s">
        <v>195</v>
      </c>
      <c r="E145" s="157" t="s">
        <v>1</v>
      </c>
      <c r="F145" s="158" t="s">
        <v>1214</v>
      </c>
      <c r="H145" s="159">
        <v>379.5</v>
      </c>
      <c r="I145" s="160"/>
      <c r="L145" s="155"/>
      <c r="M145" s="161"/>
      <c r="T145" s="162"/>
      <c r="AT145" s="157" t="s">
        <v>195</v>
      </c>
      <c r="AU145" s="157" t="s">
        <v>20</v>
      </c>
      <c r="AV145" s="12" t="s">
        <v>20</v>
      </c>
      <c r="AW145" s="12" t="s">
        <v>37</v>
      </c>
      <c r="AX145" s="12" t="s">
        <v>88</v>
      </c>
      <c r="AY145" s="157" t="s">
        <v>184</v>
      </c>
    </row>
    <row r="146" spans="2:65" s="1" customFormat="1" ht="16.5" customHeight="1" x14ac:dyDescent="0.3">
      <c r="B146" s="33"/>
      <c r="C146" s="138" t="s">
        <v>252</v>
      </c>
      <c r="D146" s="138" t="s">
        <v>186</v>
      </c>
      <c r="E146" s="139" t="s">
        <v>1215</v>
      </c>
      <c r="F146" s="140" t="s">
        <v>1216</v>
      </c>
      <c r="G146" s="141" t="s">
        <v>210</v>
      </c>
      <c r="H146" s="142">
        <v>43</v>
      </c>
      <c r="I146" s="143">
        <v>242.55</v>
      </c>
      <c r="J146" s="144">
        <f>ROUND(I146*H146,2)</f>
        <v>10429.65</v>
      </c>
      <c r="K146" s="140" t="s">
        <v>190</v>
      </c>
      <c r="L146" s="33"/>
      <c r="M146" s="145" t="s">
        <v>1</v>
      </c>
      <c r="N146" s="146" t="s">
        <v>47</v>
      </c>
      <c r="O146" s="147">
        <v>0.13800000000000001</v>
      </c>
      <c r="P146" s="147">
        <f>O146*H146</f>
        <v>5.9340000000000002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287</v>
      </c>
      <c r="AT146" s="149" t="s">
        <v>186</v>
      </c>
      <c r="AU146" s="149" t="s">
        <v>20</v>
      </c>
      <c r="AY146" s="18" t="s">
        <v>184</v>
      </c>
      <c r="BE146" s="150">
        <f>IF(N146="základní",J146,0)</f>
        <v>10429.65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8" t="s">
        <v>88</v>
      </c>
      <c r="BK146" s="150">
        <f>ROUND(I146*H146,2)</f>
        <v>10429.65</v>
      </c>
      <c r="BL146" s="18" t="s">
        <v>287</v>
      </c>
      <c r="BM146" s="149" t="s">
        <v>1217</v>
      </c>
    </row>
    <row r="147" spans="2:65" s="1" customFormat="1" x14ac:dyDescent="0.3">
      <c r="B147" s="33"/>
      <c r="D147" s="151" t="s">
        <v>193</v>
      </c>
      <c r="F147" s="152" t="s">
        <v>1218</v>
      </c>
      <c r="I147" s="153"/>
      <c r="L147" s="33"/>
      <c r="M147" s="154"/>
      <c r="T147" s="57"/>
      <c r="AT147" s="18" t="s">
        <v>193</v>
      </c>
      <c r="AU147" s="18" t="s">
        <v>20</v>
      </c>
    </row>
    <row r="148" spans="2:65" s="1" customFormat="1" ht="16.5" customHeight="1" x14ac:dyDescent="0.3">
      <c r="B148" s="33"/>
      <c r="C148" s="172" t="s">
        <v>257</v>
      </c>
      <c r="D148" s="172" t="s">
        <v>271</v>
      </c>
      <c r="E148" s="173" t="s">
        <v>1219</v>
      </c>
      <c r="F148" s="174" t="s">
        <v>1220</v>
      </c>
      <c r="G148" s="175" t="s">
        <v>210</v>
      </c>
      <c r="H148" s="176">
        <v>49.45</v>
      </c>
      <c r="I148" s="177">
        <v>313.89</v>
      </c>
      <c r="J148" s="178">
        <f>ROUND(I148*H148,2)</f>
        <v>15521.86</v>
      </c>
      <c r="K148" s="174" t="s">
        <v>190</v>
      </c>
      <c r="L148" s="179"/>
      <c r="M148" s="180" t="s">
        <v>1</v>
      </c>
      <c r="N148" s="181" t="s">
        <v>47</v>
      </c>
      <c r="O148" s="147">
        <v>0</v>
      </c>
      <c r="P148" s="147">
        <f>O148*H148</f>
        <v>0</v>
      </c>
      <c r="Q148" s="147">
        <v>8.9999999999999998E-4</v>
      </c>
      <c r="R148" s="147">
        <f>Q148*H148</f>
        <v>4.4505000000000003E-2</v>
      </c>
      <c r="S148" s="147">
        <v>0</v>
      </c>
      <c r="T148" s="148">
        <f>S148*H148</f>
        <v>0</v>
      </c>
      <c r="AR148" s="149" t="s">
        <v>392</v>
      </c>
      <c r="AT148" s="149" t="s">
        <v>271</v>
      </c>
      <c r="AU148" s="149" t="s">
        <v>20</v>
      </c>
      <c r="AY148" s="18" t="s">
        <v>184</v>
      </c>
      <c r="BE148" s="150">
        <f>IF(N148="základní",J148,0)</f>
        <v>15521.86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8" t="s">
        <v>88</v>
      </c>
      <c r="BK148" s="150">
        <f>ROUND(I148*H148,2)</f>
        <v>15521.86</v>
      </c>
      <c r="BL148" s="18" t="s">
        <v>287</v>
      </c>
      <c r="BM148" s="149" t="s">
        <v>1221</v>
      </c>
    </row>
    <row r="149" spans="2:65" s="12" customFormat="1" ht="11.25" x14ac:dyDescent="0.3">
      <c r="B149" s="155"/>
      <c r="D149" s="156" t="s">
        <v>195</v>
      </c>
      <c r="E149" s="157" t="s">
        <v>1</v>
      </c>
      <c r="F149" s="158" t="s">
        <v>1222</v>
      </c>
      <c r="H149" s="159">
        <v>49.45</v>
      </c>
      <c r="I149" s="160"/>
      <c r="L149" s="155"/>
      <c r="M149" s="161"/>
      <c r="T149" s="162"/>
      <c r="AT149" s="157" t="s">
        <v>195</v>
      </c>
      <c r="AU149" s="157" t="s">
        <v>20</v>
      </c>
      <c r="AV149" s="12" t="s">
        <v>20</v>
      </c>
      <c r="AW149" s="12" t="s">
        <v>37</v>
      </c>
      <c r="AX149" s="12" t="s">
        <v>88</v>
      </c>
      <c r="AY149" s="157" t="s">
        <v>184</v>
      </c>
    </row>
    <row r="150" spans="2:65" s="1" customFormat="1" ht="16.5" customHeight="1" x14ac:dyDescent="0.3">
      <c r="B150" s="33"/>
      <c r="C150" s="138" t="s">
        <v>264</v>
      </c>
      <c r="D150" s="138" t="s">
        <v>186</v>
      </c>
      <c r="E150" s="139" t="s">
        <v>1223</v>
      </c>
      <c r="F150" s="140" t="s">
        <v>1224</v>
      </c>
      <c r="G150" s="141" t="s">
        <v>210</v>
      </c>
      <c r="H150" s="142">
        <v>454</v>
      </c>
      <c r="I150" s="143">
        <v>156.94999999999999</v>
      </c>
      <c r="J150" s="144">
        <f>ROUND(I150*H150,2)</f>
        <v>71255.3</v>
      </c>
      <c r="K150" s="140" t="s">
        <v>190</v>
      </c>
      <c r="L150" s="33"/>
      <c r="M150" s="145" t="s">
        <v>1</v>
      </c>
      <c r="N150" s="146" t="s">
        <v>47</v>
      </c>
      <c r="O150" s="147">
        <v>5.1999999999999998E-2</v>
      </c>
      <c r="P150" s="147">
        <f>O150*H150</f>
        <v>23.608000000000001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49" t="s">
        <v>287</v>
      </c>
      <c r="AT150" s="149" t="s">
        <v>186</v>
      </c>
      <c r="AU150" s="149" t="s">
        <v>20</v>
      </c>
      <c r="AY150" s="18" t="s">
        <v>184</v>
      </c>
      <c r="BE150" s="150">
        <f>IF(N150="základní",J150,0)</f>
        <v>71255.3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8" t="s">
        <v>88</v>
      </c>
      <c r="BK150" s="150">
        <f>ROUND(I150*H150,2)</f>
        <v>71255.3</v>
      </c>
      <c r="BL150" s="18" t="s">
        <v>287</v>
      </c>
      <c r="BM150" s="149" t="s">
        <v>1225</v>
      </c>
    </row>
    <row r="151" spans="2:65" s="1" customFormat="1" x14ac:dyDescent="0.3">
      <c r="B151" s="33"/>
      <c r="D151" s="151" t="s">
        <v>193</v>
      </c>
      <c r="F151" s="152" t="s">
        <v>1226</v>
      </c>
      <c r="I151" s="153"/>
      <c r="L151" s="33"/>
      <c r="M151" s="154"/>
      <c r="T151" s="57"/>
      <c r="AT151" s="18" t="s">
        <v>193</v>
      </c>
      <c r="AU151" s="18" t="s">
        <v>20</v>
      </c>
    </row>
    <row r="152" spans="2:65" s="1" customFormat="1" ht="16.5" customHeight="1" x14ac:dyDescent="0.3">
      <c r="B152" s="33"/>
      <c r="C152" s="172" t="s">
        <v>270</v>
      </c>
      <c r="D152" s="172" t="s">
        <v>271</v>
      </c>
      <c r="E152" s="173" t="s">
        <v>1227</v>
      </c>
      <c r="F152" s="174" t="s">
        <v>1228</v>
      </c>
      <c r="G152" s="175" t="s">
        <v>210</v>
      </c>
      <c r="H152" s="176">
        <v>522.1</v>
      </c>
      <c r="I152" s="177">
        <v>107.01</v>
      </c>
      <c r="J152" s="178">
        <f>ROUND(I152*H152,2)</f>
        <v>55869.919999999998</v>
      </c>
      <c r="K152" s="174" t="s">
        <v>190</v>
      </c>
      <c r="L152" s="179"/>
      <c r="M152" s="180" t="s">
        <v>1</v>
      </c>
      <c r="N152" s="181" t="s">
        <v>47</v>
      </c>
      <c r="O152" s="147">
        <v>0</v>
      </c>
      <c r="P152" s="147">
        <f>O152*H152</f>
        <v>0</v>
      </c>
      <c r="Q152" s="147">
        <v>6.0999999999999997E-4</v>
      </c>
      <c r="R152" s="147">
        <f>Q152*H152</f>
        <v>0.31848100000000001</v>
      </c>
      <c r="S152" s="147">
        <v>0</v>
      </c>
      <c r="T152" s="148">
        <f>S152*H152</f>
        <v>0</v>
      </c>
      <c r="AR152" s="149" t="s">
        <v>392</v>
      </c>
      <c r="AT152" s="149" t="s">
        <v>271</v>
      </c>
      <c r="AU152" s="149" t="s">
        <v>20</v>
      </c>
      <c r="AY152" s="18" t="s">
        <v>184</v>
      </c>
      <c r="BE152" s="150">
        <f>IF(N152="základní",J152,0)</f>
        <v>55869.919999999998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8" t="s">
        <v>88</v>
      </c>
      <c r="BK152" s="150">
        <f>ROUND(I152*H152,2)</f>
        <v>55869.919999999998</v>
      </c>
      <c r="BL152" s="18" t="s">
        <v>287</v>
      </c>
      <c r="BM152" s="149" t="s">
        <v>1229</v>
      </c>
    </row>
    <row r="153" spans="2:65" s="12" customFormat="1" ht="11.25" x14ac:dyDescent="0.3">
      <c r="B153" s="155"/>
      <c r="D153" s="156" t="s">
        <v>195</v>
      </c>
      <c r="E153" s="157" t="s">
        <v>1</v>
      </c>
      <c r="F153" s="158" t="s">
        <v>1230</v>
      </c>
      <c r="H153" s="159">
        <v>522.1</v>
      </c>
      <c r="I153" s="160"/>
      <c r="L153" s="155"/>
      <c r="M153" s="161"/>
      <c r="T153" s="162"/>
      <c r="AT153" s="157" t="s">
        <v>195</v>
      </c>
      <c r="AU153" s="157" t="s">
        <v>20</v>
      </c>
      <c r="AV153" s="12" t="s">
        <v>20</v>
      </c>
      <c r="AW153" s="12" t="s">
        <v>37</v>
      </c>
      <c r="AX153" s="12" t="s">
        <v>88</v>
      </c>
      <c r="AY153" s="157" t="s">
        <v>184</v>
      </c>
    </row>
    <row r="154" spans="2:65" s="1" customFormat="1" ht="16.5" customHeight="1" x14ac:dyDescent="0.3">
      <c r="B154" s="33"/>
      <c r="C154" s="138" t="s">
        <v>276</v>
      </c>
      <c r="D154" s="138" t="s">
        <v>186</v>
      </c>
      <c r="E154" s="139" t="s">
        <v>1231</v>
      </c>
      <c r="F154" s="140" t="s">
        <v>1232</v>
      </c>
      <c r="G154" s="141" t="s">
        <v>557</v>
      </c>
      <c r="H154" s="142">
        <v>66</v>
      </c>
      <c r="I154" s="143">
        <v>85.61</v>
      </c>
      <c r="J154" s="144">
        <f>ROUND(I154*H154,2)</f>
        <v>5650.26</v>
      </c>
      <c r="K154" s="140" t="s">
        <v>658</v>
      </c>
      <c r="L154" s="33"/>
      <c r="M154" s="145" t="s">
        <v>1</v>
      </c>
      <c r="N154" s="146" t="s">
        <v>47</v>
      </c>
      <c r="O154" s="147">
        <v>5.5E-2</v>
      </c>
      <c r="P154" s="147">
        <f>O154*H154</f>
        <v>3.63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49" t="s">
        <v>287</v>
      </c>
      <c r="AT154" s="149" t="s">
        <v>186</v>
      </c>
      <c r="AU154" s="149" t="s">
        <v>20</v>
      </c>
      <c r="AY154" s="18" t="s">
        <v>184</v>
      </c>
      <c r="BE154" s="150">
        <f>IF(N154="základní",J154,0)</f>
        <v>5650.26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8" t="s">
        <v>88</v>
      </c>
      <c r="BK154" s="150">
        <f>ROUND(I154*H154,2)</f>
        <v>5650.26</v>
      </c>
      <c r="BL154" s="18" t="s">
        <v>287</v>
      </c>
      <c r="BM154" s="149" t="s">
        <v>1233</v>
      </c>
    </row>
    <row r="155" spans="2:65" s="1" customFormat="1" ht="16.5" customHeight="1" x14ac:dyDescent="0.3">
      <c r="B155" s="33"/>
      <c r="C155" s="138" t="s">
        <v>7</v>
      </c>
      <c r="D155" s="138" t="s">
        <v>186</v>
      </c>
      <c r="E155" s="139" t="s">
        <v>1234</v>
      </c>
      <c r="F155" s="140" t="s">
        <v>1235</v>
      </c>
      <c r="G155" s="141" t="s">
        <v>557</v>
      </c>
      <c r="H155" s="142">
        <v>128</v>
      </c>
      <c r="I155" s="143">
        <v>178.35</v>
      </c>
      <c r="J155" s="144">
        <f>ROUND(I155*H155,2)</f>
        <v>22828.799999999999</v>
      </c>
      <c r="K155" s="140" t="s">
        <v>658</v>
      </c>
      <c r="L155" s="33"/>
      <c r="M155" s="145" t="s">
        <v>1</v>
      </c>
      <c r="N155" s="146" t="s">
        <v>47</v>
      </c>
      <c r="O155" s="147">
        <v>0.193</v>
      </c>
      <c r="P155" s="147">
        <f>O155*H155</f>
        <v>24.704000000000001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AR155" s="149" t="s">
        <v>287</v>
      </c>
      <c r="AT155" s="149" t="s">
        <v>186</v>
      </c>
      <c r="AU155" s="149" t="s">
        <v>20</v>
      </c>
      <c r="AY155" s="18" t="s">
        <v>184</v>
      </c>
      <c r="BE155" s="150">
        <f>IF(N155="základní",J155,0)</f>
        <v>22828.799999999999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8" t="s">
        <v>88</v>
      </c>
      <c r="BK155" s="150">
        <f>ROUND(I155*H155,2)</f>
        <v>22828.799999999999</v>
      </c>
      <c r="BL155" s="18" t="s">
        <v>287</v>
      </c>
      <c r="BM155" s="149" t="s">
        <v>1236</v>
      </c>
    </row>
    <row r="156" spans="2:65" s="1" customFormat="1" ht="16.5" customHeight="1" x14ac:dyDescent="0.3">
      <c r="B156" s="33"/>
      <c r="C156" s="138" t="s">
        <v>287</v>
      </c>
      <c r="D156" s="138" t="s">
        <v>186</v>
      </c>
      <c r="E156" s="139" t="s">
        <v>1237</v>
      </c>
      <c r="F156" s="140" t="s">
        <v>1238</v>
      </c>
      <c r="G156" s="141" t="s">
        <v>210</v>
      </c>
      <c r="H156" s="142">
        <v>422</v>
      </c>
      <c r="I156" s="143">
        <v>128.41</v>
      </c>
      <c r="J156" s="144">
        <f>ROUND(I156*H156,2)</f>
        <v>54189.02</v>
      </c>
      <c r="K156" s="140" t="s">
        <v>658</v>
      </c>
      <c r="L156" s="33"/>
      <c r="M156" s="145" t="s">
        <v>1</v>
      </c>
      <c r="N156" s="146" t="s">
        <v>47</v>
      </c>
      <c r="O156" s="147">
        <v>0.14000000000000001</v>
      </c>
      <c r="P156" s="147">
        <f>O156*H156</f>
        <v>59.080000000000005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49" t="s">
        <v>287</v>
      </c>
      <c r="AT156" s="149" t="s">
        <v>186</v>
      </c>
      <c r="AU156" s="149" t="s">
        <v>20</v>
      </c>
      <c r="AY156" s="18" t="s">
        <v>184</v>
      </c>
      <c r="BE156" s="150">
        <f>IF(N156="základní",J156,0)</f>
        <v>54189.02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8" t="s">
        <v>88</v>
      </c>
      <c r="BK156" s="150">
        <f>ROUND(I156*H156,2)</f>
        <v>54189.02</v>
      </c>
      <c r="BL156" s="18" t="s">
        <v>287</v>
      </c>
      <c r="BM156" s="149" t="s">
        <v>1239</v>
      </c>
    </row>
    <row r="157" spans="2:65" s="1" customFormat="1" ht="16.5" customHeight="1" x14ac:dyDescent="0.3">
      <c r="B157" s="33"/>
      <c r="C157" s="172" t="s">
        <v>293</v>
      </c>
      <c r="D157" s="172" t="s">
        <v>271</v>
      </c>
      <c r="E157" s="173" t="s">
        <v>1240</v>
      </c>
      <c r="F157" s="174" t="s">
        <v>1241</v>
      </c>
      <c r="G157" s="175" t="s">
        <v>446</v>
      </c>
      <c r="H157" s="176">
        <v>400.9</v>
      </c>
      <c r="I157" s="177">
        <v>71.34</v>
      </c>
      <c r="J157" s="178">
        <f>ROUND(I157*H157,2)</f>
        <v>28600.21</v>
      </c>
      <c r="K157" s="174" t="s">
        <v>658</v>
      </c>
      <c r="L157" s="179"/>
      <c r="M157" s="180" t="s">
        <v>1</v>
      </c>
      <c r="N157" s="181" t="s">
        <v>47</v>
      </c>
      <c r="O157" s="147">
        <v>0</v>
      </c>
      <c r="P157" s="147">
        <f>O157*H157</f>
        <v>0</v>
      </c>
      <c r="Q157" s="147">
        <v>1E-3</v>
      </c>
      <c r="R157" s="147">
        <f>Q157*H157</f>
        <v>0.40089999999999998</v>
      </c>
      <c r="S157" s="147">
        <v>0</v>
      </c>
      <c r="T157" s="148">
        <f>S157*H157</f>
        <v>0</v>
      </c>
      <c r="AR157" s="149" t="s">
        <v>392</v>
      </c>
      <c r="AT157" s="149" t="s">
        <v>271</v>
      </c>
      <c r="AU157" s="149" t="s">
        <v>20</v>
      </c>
      <c r="AY157" s="18" t="s">
        <v>184</v>
      </c>
      <c r="BE157" s="150">
        <f>IF(N157="základní",J157,0)</f>
        <v>28600.21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8" t="s">
        <v>88</v>
      </c>
      <c r="BK157" s="150">
        <f>ROUND(I157*H157,2)</f>
        <v>28600.21</v>
      </c>
      <c r="BL157" s="18" t="s">
        <v>287</v>
      </c>
      <c r="BM157" s="149" t="s">
        <v>1242</v>
      </c>
    </row>
    <row r="158" spans="2:65" s="12" customFormat="1" ht="11.25" x14ac:dyDescent="0.3">
      <c r="B158" s="155"/>
      <c r="D158" s="156" t="s">
        <v>195</v>
      </c>
      <c r="E158" s="157" t="s">
        <v>1</v>
      </c>
      <c r="F158" s="158" t="s">
        <v>1243</v>
      </c>
      <c r="H158" s="159">
        <v>400.9</v>
      </c>
      <c r="I158" s="160"/>
      <c r="L158" s="155"/>
      <c r="M158" s="161"/>
      <c r="T158" s="162"/>
      <c r="AT158" s="157" t="s">
        <v>195</v>
      </c>
      <c r="AU158" s="157" t="s">
        <v>20</v>
      </c>
      <c r="AV158" s="12" t="s">
        <v>20</v>
      </c>
      <c r="AW158" s="12" t="s">
        <v>37</v>
      </c>
      <c r="AX158" s="12" t="s">
        <v>88</v>
      </c>
      <c r="AY158" s="157" t="s">
        <v>184</v>
      </c>
    </row>
    <row r="159" spans="2:65" s="1" customFormat="1" ht="16.5" customHeight="1" x14ac:dyDescent="0.3">
      <c r="B159" s="33"/>
      <c r="C159" s="138" t="s">
        <v>299</v>
      </c>
      <c r="D159" s="138" t="s">
        <v>186</v>
      </c>
      <c r="E159" s="139" t="s">
        <v>1244</v>
      </c>
      <c r="F159" s="140" t="s">
        <v>1245</v>
      </c>
      <c r="G159" s="141" t="s">
        <v>557</v>
      </c>
      <c r="H159" s="142">
        <v>1</v>
      </c>
      <c r="I159" s="143">
        <v>21401.599999999999</v>
      </c>
      <c r="J159" s="144">
        <f>ROUND(I159*H159,2)</f>
        <v>21401.599999999999</v>
      </c>
      <c r="K159" s="140" t="s">
        <v>190</v>
      </c>
      <c r="L159" s="33"/>
      <c r="M159" s="145" t="s">
        <v>1</v>
      </c>
      <c r="N159" s="146" t="s">
        <v>47</v>
      </c>
      <c r="O159" s="147">
        <v>31.841999999999999</v>
      </c>
      <c r="P159" s="147">
        <f>O159*H159</f>
        <v>31.841999999999999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AR159" s="149" t="s">
        <v>287</v>
      </c>
      <c r="AT159" s="149" t="s">
        <v>186</v>
      </c>
      <c r="AU159" s="149" t="s">
        <v>20</v>
      </c>
      <c r="AY159" s="18" t="s">
        <v>184</v>
      </c>
      <c r="BE159" s="150">
        <f>IF(N159="základní",J159,0)</f>
        <v>21401.599999999999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8" t="s">
        <v>88</v>
      </c>
      <c r="BK159" s="150">
        <f>ROUND(I159*H159,2)</f>
        <v>21401.599999999999</v>
      </c>
      <c r="BL159" s="18" t="s">
        <v>287</v>
      </c>
      <c r="BM159" s="149" t="s">
        <v>1246</v>
      </c>
    </row>
    <row r="160" spans="2:65" s="1" customFormat="1" x14ac:dyDescent="0.3">
      <c r="B160" s="33"/>
      <c r="D160" s="151" t="s">
        <v>193</v>
      </c>
      <c r="F160" s="152" t="s">
        <v>1247</v>
      </c>
      <c r="I160" s="153"/>
      <c r="L160" s="33"/>
      <c r="M160" s="154"/>
      <c r="T160" s="57"/>
      <c r="AT160" s="18" t="s">
        <v>193</v>
      </c>
      <c r="AU160" s="18" t="s">
        <v>20</v>
      </c>
    </row>
    <row r="161" spans="2:65" s="1" customFormat="1" ht="16.5" customHeight="1" x14ac:dyDescent="0.3">
      <c r="B161" s="33"/>
      <c r="C161" s="138" t="s">
        <v>305</v>
      </c>
      <c r="D161" s="138" t="s">
        <v>186</v>
      </c>
      <c r="E161" s="139" t="s">
        <v>1248</v>
      </c>
      <c r="F161" s="140" t="s">
        <v>1249</v>
      </c>
      <c r="G161" s="141" t="s">
        <v>1250</v>
      </c>
      <c r="H161" s="142">
        <v>1</v>
      </c>
      <c r="I161" s="143">
        <v>10701.55</v>
      </c>
      <c r="J161" s="144">
        <f>ROUND(I161*H161,2)</f>
        <v>10701.55</v>
      </c>
      <c r="K161" s="140" t="s">
        <v>658</v>
      </c>
      <c r="L161" s="33"/>
      <c r="M161" s="145" t="s">
        <v>1</v>
      </c>
      <c r="N161" s="146" t="s">
        <v>47</v>
      </c>
      <c r="O161" s="147">
        <v>8.7270000000000003</v>
      </c>
      <c r="P161" s="147">
        <f>O161*H161</f>
        <v>8.7270000000000003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AR161" s="149" t="s">
        <v>287</v>
      </c>
      <c r="AT161" s="149" t="s">
        <v>186</v>
      </c>
      <c r="AU161" s="149" t="s">
        <v>20</v>
      </c>
      <c r="AY161" s="18" t="s">
        <v>184</v>
      </c>
      <c r="BE161" s="150">
        <f>IF(N161="základní",J161,0)</f>
        <v>10701.55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8" t="s">
        <v>88</v>
      </c>
      <c r="BK161" s="150">
        <f>ROUND(I161*H161,2)</f>
        <v>10701.55</v>
      </c>
      <c r="BL161" s="18" t="s">
        <v>287</v>
      </c>
      <c r="BM161" s="149" t="s">
        <v>1251</v>
      </c>
    </row>
    <row r="162" spans="2:65" s="1" customFormat="1" ht="16.5" customHeight="1" x14ac:dyDescent="0.3">
      <c r="B162" s="33"/>
      <c r="C162" s="138" t="s">
        <v>311</v>
      </c>
      <c r="D162" s="138" t="s">
        <v>186</v>
      </c>
      <c r="E162" s="139" t="s">
        <v>1252</v>
      </c>
      <c r="F162" s="140" t="s">
        <v>1253</v>
      </c>
      <c r="G162" s="141" t="s">
        <v>248</v>
      </c>
      <c r="H162" s="142">
        <v>1.19</v>
      </c>
      <c r="I162" s="143">
        <v>3054.35</v>
      </c>
      <c r="J162" s="144">
        <f>ROUND(I162*H162,2)</f>
        <v>3634.68</v>
      </c>
      <c r="K162" s="140" t="s">
        <v>658</v>
      </c>
      <c r="L162" s="33"/>
      <c r="M162" s="145" t="s">
        <v>1</v>
      </c>
      <c r="N162" s="146" t="s">
        <v>47</v>
      </c>
      <c r="O162" s="147">
        <v>8.4600000000000009</v>
      </c>
      <c r="P162" s="147">
        <f>O162*H162</f>
        <v>10.067400000000001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AR162" s="149" t="s">
        <v>287</v>
      </c>
      <c r="AT162" s="149" t="s">
        <v>186</v>
      </c>
      <c r="AU162" s="149" t="s">
        <v>20</v>
      </c>
      <c r="AY162" s="18" t="s">
        <v>184</v>
      </c>
      <c r="BE162" s="150">
        <f>IF(N162="základní",J162,0)</f>
        <v>3634.68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8" t="s">
        <v>88</v>
      </c>
      <c r="BK162" s="150">
        <f>ROUND(I162*H162,2)</f>
        <v>3634.68</v>
      </c>
      <c r="BL162" s="18" t="s">
        <v>287</v>
      </c>
      <c r="BM162" s="149" t="s">
        <v>1254</v>
      </c>
    </row>
    <row r="163" spans="2:65" s="1" customFormat="1" ht="16.5" customHeight="1" x14ac:dyDescent="0.3">
      <c r="B163" s="33"/>
      <c r="C163" s="138" t="s">
        <v>6</v>
      </c>
      <c r="D163" s="138" t="s">
        <v>186</v>
      </c>
      <c r="E163" s="139" t="s">
        <v>1255</v>
      </c>
      <c r="F163" s="140" t="s">
        <v>1256</v>
      </c>
      <c r="G163" s="141" t="s">
        <v>248</v>
      </c>
      <c r="H163" s="142">
        <v>1.19</v>
      </c>
      <c r="I163" s="143">
        <v>3054.35</v>
      </c>
      <c r="J163" s="144">
        <f>ROUND(I163*H163,2)</f>
        <v>3634.68</v>
      </c>
      <c r="K163" s="140" t="s">
        <v>658</v>
      </c>
      <c r="L163" s="33"/>
      <c r="M163" s="145" t="s">
        <v>1</v>
      </c>
      <c r="N163" s="146" t="s">
        <v>47</v>
      </c>
      <c r="O163" s="147">
        <v>3.3969999999999998</v>
      </c>
      <c r="P163" s="147">
        <f>O163*H163</f>
        <v>4.0424299999999995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AR163" s="149" t="s">
        <v>287</v>
      </c>
      <c r="AT163" s="149" t="s">
        <v>186</v>
      </c>
      <c r="AU163" s="149" t="s">
        <v>20</v>
      </c>
      <c r="AY163" s="18" t="s">
        <v>184</v>
      </c>
      <c r="BE163" s="150">
        <f>IF(N163="základní",J163,0)</f>
        <v>3634.68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8" t="s">
        <v>88</v>
      </c>
      <c r="BK163" s="150">
        <f>ROUND(I163*H163,2)</f>
        <v>3634.68</v>
      </c>
      <c r="BL163" s="18" t="s">
        <v>287</v>
      </c>
      <c r="BM163" s="149" t="s">
        <v>1257</v>
      </c>
    </row>
    <row r="164" spans="2:65" s="11" customFormat="1" ht="25.9" customHeight="1" x14ac:dyDescent="0.2">
      <c r="B164" s="127"/>
      <c r="D164" s="128" t="s">
        <v>80</v>
      </c>
      <c r="E164" s="129" t="s">
        <v>271</v>
      </c>
      <c r="F164" s="129" t="s">
        <v>1258</v>
      </c>
      <c r="I164" s="171"/>
      <c r="J164" s="130">
        <f>BK164</f>
        <v>1087642.93</v>
      </c>
      <c r="L164" s="127"/>
      <c r="M164" s="131"/>
      <c r="P164" s="132">
        <f>P165+P179+P185</f>
        <v>360.99647199999998</v>
      </c>
      <c r="R164" s="132">
        <f>R165+R179+R185</f>
        <v>160.68091999999999</v>
      </c>
      <c r="T164" s="133">
        <f>T165+T179+T185</f>
        <v>0</v>
      </c>
      <c r="AR164" s="128" t="s">
        <v>202</v>
      </c>
      <c r="AT164" s="134" t="s">
        <v>80</v>
      </c>
      <c r="AU164" s="134" t="s">
        <v>81</v>
      </c>
      <c r="AY164" s="128" t="s">
        <v>184</v>
      </c>
      <c r="BK164" s="135">
        <f>BK165+BK179+BK185</f>
        <v>1087642.93</v>
      </c>
    </row>
    <row r="165" spans="2:65" s="11" customFormat="1" ht="22.9" customHeight="1" x14ac:dyDescent="0.2">
      <c r="B165" s="127"/>
      <c r="D165" s="128" t="s">
        <v>80</v>
      </c>
      <c r="E165" s="136" t="s">
        <v>1259</v>
      </c>
      <c r="F165" s="136" t="s">
        <v>1260</v>
      </c>
      <c r="I165" s="171"/>
      <c r="J165" s="137">
        <f>BK165</f>
        <v>522523.64</v>
      </c>
      <c r="L165" s="127"/>
      <c r="M165" s="131"/>
      <c r="P165" s="132">
        <f>SUM(P166:P178)</f>
        <v>97.635999999999996</v>
      </c>
      <c r="R165" s="132">
        <f>SUM(R166:R178)</f>
        <v>2.7500000000000004E-2</v>
      </c>
      <c r="T165" s="133">
        <f>SUM(T166:T178)</f>
        <v>0</v>
      </c>
      <c r="AR165" s="128" t="s">
        <v>202</v>
      </c>
      <c r="AT165" s="134" t="s">
        <v>80</v>
      </c>
      <c r="AU165" s="134" t="s">
        <v>88</v>
      </c>
      <c r="AY165" s="128" t="s">
        <v>184</v>
      </c>
      <c r="BK165" s="135">
        <f>SUM(BK166:BK178)</f>
        <v>522523.64</v>
      </c>
    </row>
    <row r="166" spans="2:65" s="1" customFormat="1" ht="16.5" customHeight="1" x14ac:dyDescent="0.3">
      <c r="B166" s="33"/>
      <c r="C166" s="138" t="s">
        <v>322</v>
      </c>
      <c r="D166" s="138" t="s">
        <v>186</v>
      </c>
      <c r="E166" s="139" t="s">
        <v>1261</v>
      </c>
      <c r="F166" s="140" t="s">
        <v>1262</v>
      </c>
      <c r="G166" s="141" t="s">
        <v>557</v>
      </c>
      <c r="H166" s="142">
        <v>11</v>
      </c>
      <c r="I166" s="143">
        <v>1141.42</v>
      </c>
      <c r="J166" s="144">
        <f>ROUND(I166*H166,2)</f>
        <v>12555.62</v>
      </c>
      <c r="K166" s="140" t="s">
        <v>190</v>
      </c>
      <c r="L166" s="33"/>
      <c r="M166" s="145" t="s">
        <v>1</v>
      </c>
      <c r="N166" s="146" t="s">
        <v>47</v>
      </c>
      <c r="O166" s="147">
        <v>0.88400000000000001</v>
      </c>
      <c r="P166" s="147">
        <f>O166*H166</f>
        <v>9.7240000000000002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49" t="s">
        <v>1032</v>
      </c>
      <c r="AT166" s="149" t="s">
        <v>186</v>
      </c>
      <c r="AU166" s="149" t="s">
        <v>20</v>
      </c>
      <c r="AY166" s="18" t="s">
        <v>184</v>
      </c>
      <c r="BE166" s="150">
        <f>IF(N166="základní",J166,0)</f>
        <v>12555.62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8" t="s">
        <v>88</v>
      </c>
      <c r="BK166" s="150">
        <f>ROUND(I166*H166,2)</f>
        <v>12555.62</v>
      </c>
      <c r="BL166" s="18" t="s">
        <v>1032</v>
      </c>
      <c r="BM166" s="149" t="s">
        <v>1263</v>
      </c>
    </row>
    <row r="167" spans="2:65" s="1" customFormat="1" x14ac:dyDescent="0.3">
      <c r="B167" s="33"/>
      <c r="D167" s="151" t="s">
        <v>193</v>
      </c>
      <c r="F167" s="152" t="s">
        <v>1264</v>
      </c>
      <c r="I167" s="153"/>
      <c r="L167" s="33"/>
      <c r="M167" s="154"/>
      <c r="T167" s="57"/>
      <c r="AT167" s="18" t="s">
        <v>193</v>
      </c>
      <c r="AU167" s="18" t="s">
        <v>20</v>
      </c>
    </row>
    <row r="168" spans="2:65" s="1" customFormat="1" ht="16.5" customHeight="1" x14ac:dyDescent="0.3">
      <c r="B168" s="33"/>
      <c r="C168" s="172" t="s">
        <v>328</v>
      </c>
      <c r="D168" s="172" t="s">
        <v>271</v>
      </c>
      <c r="E168" s="173" t="s">
        <v>1265</v>
      </c>
      <c r="F168" s="174" t="s">
        <v>1266</v>
      </c>
      <c r="G168" s="175" t="s">
        <v>557</v>
      </c>
      <c r="H168" s="176">
        <v>11</v>
      </c>
      <c r="I168" s="177">
        <v>14267.73</v>
      </c>
      <c r="J168" s="178">
        <f>ROUND(I168*H168,2)</f>
        <v>156945.03</v>
      </c>
      <c r="K168" s="174" t="s">
        <v>1</v>
      </c>
      <c r="L168" s="179"/>
      <c r="M168" s="180" t="s">
        <v>1</v>
      </c>
      <c r="N168" s="181" t="s">
        <v>47</v>
      </c>
      <c r="O168" s="147">
        <v>0</v>
      </c>
      <c r="P168" s="147">
        <f>O168*H168</f>
        <v>0</v>
      </c>
      <c r="Q168" s="147">
        <v>2.2000000000000001E-3</v>
      </c>
      <c r="R168" s="147">
        <f>Q168*H168</f>
        <v>2.4200000000000003E-2</v>
      </c>
      <c r="S168" s="147">
        <v>0</v>
      </c>
      <c r="T168" s="148">
        <f>S168*H168</f>
        <v>0</v>
      </c>
      <c r="AR168" s="149" t="s">
        <v>1267</v>
      </c>
      <c r="AT168" s="149" t="s">
        <v>271</v>
      </c>
      <c r="AU168" s="149" t="s">
        <v>20</v>
      </c>
      <c r="AY168" s="18" t="s">
        <v>184</v>
      </c>
      <c r="BE168" s="150">
        <f>IF(N168="základní",J168,0)</f>
        <v>156945.03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8" t="s">
        <v>88</v>
      </c>
      <c r="BK168" s="150">
        <f>ROUND(I168*H168,2)</f>
        <v>156945.03</v>
      </c>
      <c r="BL168" s="18" t="s">
        <v>1267</v>
      </c>
      <c r="BM168" s="149" t="s">
        <v>1268</v>
      </c>
    </row>
    <row r="169" spans="2:65" s="1" customFormat="1" ht="16.5" customHeight="1" x14ac:dyDescent="0.3">
      <c r="B169" s="33"/>
      <c r="C169" s="138" t="s">
        <v>334</v>
      </c>
      <c r="D169" s="138" t="s">
        <v>186</v>
      </c>
      <c r="E169" s="139" t="s">
        <v>1269</v>
      </c>
      <c r="F169" s="140" t="s">
        <v>1270</v>
      </c>
      <c r="G169" s="141" t="s">
        <v>557</v>
      </c>
      <c r="H169" s="142">
        <v>11</v>
      </c>
      <c r="I169" s="143">
        <v>6063.79</v>
      </c>
      <c r="J169" s="144">
        <f>ROUND(I169*H169,2)</f>
        <v>66701.69</v>
      </c>
      <c r="K169" s="140" t="s">
        <v>190</v>
      </c>
      <c r="L169" s="33"/>
      <c r="M169" s="145" t="s">
        <v>1</v>
      </c>
      <c r="N169" s="146" t="s">
        <v>47</v>
      </c>
      <c r="O169" s="147">
        <v>3.9180000000000001</v>
      </c>
      <c r="P169" s="147">
        <f>O169*H169</f>
        <v>43.097999999999999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AR169" s="149" t="s">
        <v>1032</v>
      </c>
      <c r="AT169" s="149" t="s">
        <v>186</v>
      </c>
      <c r="AU169" s="149" t="s">
        <v>20</v>
      </c>
      <c r="AY169" s="18" t="s">
        <v>184</v>
      </c>
      <c r="BE169" s="150">
        <f>IF(N169="základní",J169,0)</f>
        <v>66701.69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8" t="s">
        <v>88</v>
      </c>
      <c r="BK169" s="150">
        <f>ROUND(I169*H169,2)</f>
        <v>66701.69</v>
      </c>
      <c r="BL169" s="18" t="s">
        <v>1032</v>
      </c>
      <c r="BM169" s="149" t="s">
        <v>1271</v>
      </c>
    </row>
    <row r="170" spans="2:65" s="1" customFormat="1" x14ac:dyDescent="0.3">
      <c r="B170" s="33"/>
      <c r="D170" s="151" t="s">
        <v>193</v>
      </c>
      <c r="F170" s="152" t="s">
        <v>1272</v>
      </c>
      <c r="I170" s="153"/>
      <c r="L170" s="33"/>
      <c r="M170" s="154"/>
      <c r="T170" s="57"/>
      <c r="AT170" s="18" t="s">
        <v>193</v>
      </c>
      <c r="AU170" s="18" t="s">
        <v>20</v>
      </c>
    </row>
    <row r="171" spans="2:65" s="1" customFormat="1" ht="16.5" customHeight="1" x14ac:dyDescent="0.3">
      <c r="B171" s="33"/>
      <c r="C171" s="172" t="s">
        <v>340</v>
      </c>
      <c r="D171" s="172" t="s">
        <v>271</v>
      </c>
      <c r="E171" s="173" t="s">
        <v>1273</v>
      </c>
      <c r="F171" s="174" t="s">
        <v>1274</v>
      </c>
      <c r="G171" s="175" t="s">
        <v>557</v>
      </c>
      <c r="H171" s="176">
        <v>11</v>
      </c>
      <c r="I171" s="177">
        <v>19405.080000000002</v>
      </c>
      <c r="J171" s="178">
        <f>ROUND(I171*H171,2)</f>
        <v>213455.88</v>
      </c>
      <c r="K171" s="174" t="s">
        <v>1</v>
      </c>
      <c r="L171" s="179"/>
      <c r="M171" s="180" t="s">
        <v>1</v>
      </c>
      <c r="N171" s="181" t="s">
        <v>47</v>
      </c>
      <c r="O171" s="147">
        <v>0</v>
      </c>
      <c r="P171" s="147">
        <f>O171*H171</f>
        <v>0</v>
      </c>
      <c r="Q171" s="147">
        <v>0</v>
      </c>
      <c r="R171" s="147">
        <f>Q171*H171</f>
        <v>0</v>
      </c>
      <c r="S171" s="147">
        <v>0</v>
      </c>
      <c r="T171" s="148">
        <f>S171*H171</f>
        <v>0</v>
      </c>
      <c r="AR171" s="149" t="s">
        <v>1267</v>
      </c>
      <c r="AT171" s="149" t="s">
        <v>271</v>
      </c>
      <c r="AU171" s="149" t="s">
        <v>20</v>
      </c>
      <c r="AY171" s="18" t="s">
        <v>184</v>
      </c>
      <c r="BE171" s="150">
        <f>IF(N171="základní",J171,0)</f>
        <v>213455.88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8" t="s">
        <v>88</v>
      </c>
      <c r="BK171" s="150">
        <f>ROUND(I171*H171,2)</f>
        <v>213455.88</v>
      </c>
      <c r="BL171" s="18" t="s">
        <v>1267</v>
      </c>
      <c r="BM171" s="149" t="s">
        <v>1275</v>
      </c>
    </row>
    <row r="172" spans="2:65" s="1" customFormat="1" ht="16.5" customHeight="1" x14ac:dyDescent="0.3">
      <c r="B172" s="33"/>
      <c r="C172" s="138" t="s">
        <v>346</v>
      </c>
      <c r="D172" s="138" t="s">
        <v>186</v>
      </c>
      <c r="E172" s="139" t="s">
        <v>1276</v>
      </c>
      <c r="F172" s="140" t="s">
        <v>1277</v>
      </c>
      <c r="G172" s="141" t="s">
        <v>557</v>
      </c>
      <c r="H172" s="142">
        <v>11</v>
      </c>
      <c r="I172" s="143">
        <v>2853.55</v>
      </c>
      <c r="J172" s="144">
        <f>ROUND(I172*H172,2)</f>
        <v>31389.05</v>
      </c>
      <c r="K172" s="140" t="s">
        <v>1</v>
      </c>
      <c r="L172" s="33"/>
      <c r="M172" s="145" t="s">
        <v>1</v>
      </c>
      <c r="N172" s="146" t="s">
        <v>47</v>
      </c>
      <c r="O172" s="147">
        <v>1.367</v>
      </c>
      <c r="P172" s="147">
        <f>O172*H172</f>
        <v>15.036999999999999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AR172" s="149" t="s">
        <v>1032</v>
      </c>
      <c r="AT172" s="149" t="s">
        <v>186</v>
      </c>
      <c r="AU172" s="149" t="s">
        <v>20</v>
      </c>
      <c r="AY172" s="18" t="s">
        <v>184</v>
      </c>
      <c r="BE172" s="150">
        <f>IF(N172="základní",J172,0)</f>
        <v>31389.05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8" t="s">
        <v>88</v>
      </c>
      <c r="BK172" s="150">
        <f>ROUND(I172*H172,2)</f>
        <v>31389.05</v>
      </c>
      <c r="BL172" s="18" t="s">
        <v>1032</v>
      </c>
      <c r="BM172" s="149" t="s">
        <v>1278</v>
      </c>
    </row>
    <row r="173" spans="2:65" s="1" customFormat="1" ht="16.5" customHeight="1" x14ac:dyDescent="0.3">
      <c r="B173" s="33"/>
      <c r="C173" s="172" t="s">
        <v>353</v>
      </c>
      <c r="D173" s="172" t="s">
        <v>271</v>
      </c>
      <c r="E173" s="173" t="s">
        <v>1279</v>
      </c>
      <c r="F173" s="174" t="s">
        <v>1280</v>
      </c>
      <c r="G173" s="175" t="s">
        <v>557</v>
      </c>
      <c r="H173" s="176">
        <v>11</v>
      </c>
      <c r="I173" s="177">
        <v>527.91</v>
      </c>
      <c r="J173" s="178">
        <f>ROUND(I173*H173,2)</f>
        <v>5807.01</v>
      </c>
      <c r="K173" s="174" t="s">
        <v>190</v>
      </c>
      <c r="L173" s="179"/>
      <c r="M173" s="180" t="s">
        <v>1</v>
      </c>
      <c r="N173" s="181" t="s">
        <v>47</v>
      </c>
      <c r="O173" s="147">
        <v>0</v>
      </c>
      <c r="P173" s="147">
        <f>O173*H173</f>
        <v>0</v>
      </c>
      <c r="Q173" s="147">
        <v>2.9999999999999997E-4</v>
      </c>
      <c r="R173" s="147">
        <f>Q173*H173</f>
        <v>3.2999999999999995E-3</v>
      </c>
      <c r="S173" s="147">
        <v>0</v>
      </c>
      <c r="T173" s="148">
        <f>S173*H173</f>
        <v>0</v>
      </c>
      <c r="AR173" s="149" t="s">
        <v>1267</v>
      </c>
      <c r="AT173" s="149" t="s">
        <v>271</v>
      </c>
      <c r="AU173" s="149" t="s">
        <v>20</v>
      </c>
      <c r="AY173" s="18" t="s">
        <v>184</v>
      </c>
      <c r="BE173" s="150">
        <f>IF(N173="základní",J173,0)</f>
        <v>5807.01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8" t="s">
        <v>88</v>
      </c>
      <c r="BK173" s="150">
        <f>ROUND(I173*H173,2)</f>
        <v>5807.01</v>
      </c>
      <c r="BL173" s="18" t="s">
        <v>1267</v>
      </c>
      <c r="BM173" s="149" t="s">
        <v>1281</v>
      </c>
    </row>
    <row r="174" spans="2:65" s="1" customFormat="1" ht="16.5" customHeight="1" x14ac:dyDescent="0.3">
      <c r="B174" s="33"/>
      <c r="C174" s="138" t="s">
        <v>360</v>
      </c>
      <c r="D174" s="138" t="s">
        <v>186</v>
      </c>
      <c r="E174" s="139" t="s">
        <v>1282</v>
      </c>
      <c r="F174" s="140" t="s">
        <v>1283</v>
      </c>
      <c r="G174" s="141" t="s">
        <v>557</v>
      </c>
      <c r="H174" s="142">
        <v>1</v>
      </c>
      <c r="I174" s="143">
        <v>12840.96</v>
      </c>
      <c r="J174" s="144">
        <f>ROUND(I174*H174,2)</f>
        <v>12840.96</v>
      </c>
      <c r="K174" s="140" t="s">
        <v>190</v>
      </c>
      <c r="L174" s="33"/>
      <c r="M174" s="145" t="s">
        <v>1</v>
      </c>
      <c r="N174" s="146" t="s">
        <v>47</v>
      </c>
      <c r="O174" s="147">
        <v>10.968999999999999</v>
      </c>
      <c r="P174" s="147">
        <f>O174*H174</f>
        <v>10.968999999999999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AR174" s="149" t="s">
        <v>1032</v>
      </c>
      <c r="AT174" s="149" t="s">
        <v>186</v>
      </c>
      <c r="AU174" s="149" t="s">
        <v>20</v>
      </c>
      <c r="AY174" s="18" t="s">
        <v>184</v>
      </c>
      <c r="BE174" s="150">
        <f>IF(N174="základní",J174,0)</f>
        <v>12840.96</v>
      </c>
      <c r="BF174" s="150">
        <f>IF(N174="snížená",J174,0)</f>
        <v>0</v>
      </c>
      <c r="BG174" s="150">
        <f>IF(N174="zákl. přenesená",J174,0)</f>
        <v>0</v>
      </c>
      <c r="BH174" s="150">
        <f>IF(N174="sníž. přenesená",J174,0)</f>
        <v>0</v>
      </c>
      <c r="BI174" s="150">
        <f>IF(N174="nulová",J174,0)</f>
        <v>0</v>
      </c>
      <c r="BJ174" s="18" t="s">
        <v>88</v>
      </c>
      <c r="BK174" s="150">
        <f>ROUND(I174*H174,2)</f>
        <v>12840.96</v>
      </c>
      <c r="BL174" s="18" t="s">
        <v>1032</v>
      </c>
      <c r="BM174" s="149" t="s">
        <v>1284</v>
      </c>
    </row>
    <row r="175" spans="2:65" s="1" customFormat="1" x14ac:dyDescent="0.3">
      <c r="B175" s="33"/>
      <c r="D175" s="151" t="s">
        <v>193</v>
      </c>
      <c r="F175" s="152" t="s">
        <v>1285</v>
      </c>
      <c r="I175" s="153"/>
      <c r="L175" s="33"/>
      <c r="M175" s="154"/>
      <c r="T175" s="57"/>
      <c r="AT175" s="18" t="s">
        <v>193</v>
      </c>
      <c r="AU175" s="18" t="s">
        <v>20</v>
      </c>
    </row>
    <row r="176" spans="2:65" s="1" customFormat="1" ht="19.5" x14ac:dyDescent="0.3">
      <c r="B176" s="33"/>
      <c r="D176" s="156" t="s">
        <v>236</v>
      </c>
      <c r="F176" s="170" t="s">
        <v>1286</v>
      </c>
      <c r="I176" s="153"/>
      <c r="L176" s="33"/>
      <c r="M176" s="154"/>
      <c r="T176" s="57"/>
      <c r="AT176" s="18" t="s">
        <v>236</v>
      </c>
      <c r="AU176" s="18" t="s">
        <v>20</v>
      </c>
    </row>
    <row r="177" spans="2:65" s="1" customFormat="1" ht="16.5" customHeight="1" x14ac:dyDescent="0.3">
      <c r="B177" s="33"/>
      <c r="C177" s="138" t="s">
        <v>368</v>
      </c>
      <c r="D177" s="138" t="s">
        <v>186</v>
      </c>
      <c r="E177" s="139" t="s">
        <v>1287</v>
      </c>
      <c r="F177" s="140" t="s">
        <v>1288</v>
      </c>
      <c r="G177" s="141" t="s">
        <v>557</v>
      </c>
      <c r="H177" s="142">
        <v>8</v>
      </c>
      <c r="I177" s="143">
        <v>2853.55</v>
      </c>
      <c r="J177" s="144">
        <f>ROUND(I177*H177,2)</f>
        <v>22828.400000000001</v>
      </c>
      <c r="K177" s="140" t="s">
        <v>190</v>
      </c>
      <c r="L177" s="33"/>
      <c r="M177" s="145" t="s">
        <v>1</v>
      </c>
      <c r="N177" s="146" t="s">
        <v>47</v>
      </c>
      <c r="O177" s="147">
        <v>2.351</v>
      </c>
      <c r="P177" s="147">
        <f>O177*H177</f>
        <v>18.808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AR177" s="149" t="s">
        <v>1032</v>
      </c>
      <c r="AT177" s="149" t="s">
        <v>186</v>
      </c>
      <c r="AU177" s="149" t="s">
        <v>20</v>
      </c>
      <c r="AY177" s="18" t="s">
        <v>184</v>
      </c>
      <c r="BE177" s="150">
        <f>IF(N177="základní",J177,0)</f>
        <v>22828.400000000001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8" t="s">
        <v>88</v>
      </c>
      <c r="BK177" s="150">
        <f>ROUND(I177*H177,2)</f>
        <v>22828.400000000001</v>
      </c>
      <c r="BL177" s="18" t="s">
        <v>1032</v>
      </c>
      <c r="BM177" s="149" t="s">
        <v>1289</v>
      </c>
    </row>
    <row r="178" spans="2:65" s="1" customFormat="1" x14ac:dyDescent="0.3">
      <c r="B178" s="33"/>
      <c r="D178" s="151" t="s">
        <v>193</v>
      </c>
      <c r="F178" s="152" t="s">
        <v>1290</v>
      </c>
      <c r="I178" s="153"/>
      <c r="L178" s="33"/>
      <c r="M178" s="154"/>
      <c r="T178" s="57"/>
      <c r="AT178" s="18" t="s">
        <v>193</v>
      </c>
      <c r="AU178" s="18" t="s">
        <v>20</v>
      </c>
    </row>
    <row r="179" spans="2:65" s="11" customFormat="1" ht="22.9" customHeight="1" x14ac:dyDescent="0.2">
      <c r="B179" s="127"/>
      <c r="D179" s="128" t="s">
        <v>80</v>
      </c>
      <c r="E179" s="136" t="s">
        <v>1291</v>
      </c>
      <c r="F179" s="136" t="s">
        <v>1292</v>
      </c>
      <c r="I179" s="171"/>
      <c r="J179" s="137">
        <f>BK179</f>
        <v>150239.37</v>
      </c>
      <c r="L179" s="127"/>
      <c r="M179" s="131"/>
      <c r="P179" s="132">
        <f>SUM(P180:P184)</f>
        <v>29.52</v>
      </c>
      <c r="R179" s="132">
        <f>SUM(R180:R184)</f>
        <v>0</v>
      </c>
      <c r="T179" s="133">
        <f>SUM(T180:T184)</f>
        <v>0</v>
      </c>
      <c r="AR179" s="128" t="s">
        <v>202</v>
      </c>
      <c r="AT179" s="134" t="s">
        <v>80</v>
      </c>
      <c r="AU179" s="134" t="s">
        <v>88</v>
      </c>
      <c r="AY179" s="128" t="s">
        <v>184</v>
      </c>
      <c r="BK179" s="135">
        <f>SUM(BK180:BK184)</f>
        <v>150239.37</v>
      </c>
    </row>
    <row r="180" spans="2:65" s="1" customFormat="1" ht="16.5" customHeight="1" x14ac:dyDescent="0.3">
      <c r="B180" s="33"/>
      <c r="C180" s="138" t="s">
        <v>376</v>
      </c>
      <c r="D180" s="138" t="s">
        <v>186</v>
      </c>
      <c r="E180" s="139" t="s">
        <v>1293</v>
      </c>
      <c r="F180" s="140" t="s">
        <v>1294</v>
      </c>
      <c r="G180" s="141" t="s">
        <v>557</v>
      </c>
      <c r="H180" s="142">
        <v>13</v>
      </c>
      <c r="I180" s="143">
        <v>2853.55</v>
      </c>
      <c r="J180" s="144">
        <f>ROUND(I180*H180,2)</f>
        <v>37096.15</v>
      </c>
      <c r="K180" s="140" t="s">
        <v>190</v>
      </c>
      <c r="L180" s="33"/>
      <c r="M180" s="145" t="s">
        <v>1</v>
      </c>
      <c r="N180" s="146" t="s">
        <v>47</v>
      </c>
      <c r="O180" s="147">
        <v>2</v>
      </c>
      <c r="P180" s="147">
        <f>O180*H180</f>
        <v>26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49" t="s">
        <v>1032</v>
      </c>
      <c r="AT180" s="149" t="s">
        <v>186</v>
      </c>
      <c r="AU180" s="149" t="s">
        <v>20</v>
      </c>
      <c r="AY180" s="18" t="s">
        <v>184</v>
      </c>
      <c r="BE180" s="150">
        <f>IF(N180="základní",J180,0)</f>
        <v>37096.15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8" t="s">
        <v>88</v>
      </c>
      <c r="BK180" s="150">
        <f>ROUND(I180*H180,2)</f>
        <v>37096.15</v>
      </c>
      <c r="BL180" s="18" t="s">
        <v>1032</v>
      </c>
      <c r="BM180" s="149" t="s">
        <v>1295</v>
      </c>
    </row>
    <row r="181" spans="2:65" s="1" customFormat="1" x14ac:dyDescent="0.3">
      <c r="B181" s="33"/>
      <c r="D181" s="151" t="s">
        <v>193</v>
      </c>
      <c r="F181" s="152" t="s">
        <v>1296</v>
      </c>
      <c r="I181" s="153"/>
      <c r="L181" s="33"/>
      <c r="M181" s="154"/>
      <c r="T181" s="57"/>
      <c r="AT181" s="18" t="s">
        <v>193</v>
      </c>
      <c r="AU181" s="18" t="s">
        <v>20</v>
      </c>
    </row>
    <row r="182" spans="2:65" s="1" customFormat="1" ht="16.5" customHeight="1" x14ac:dyDescent="0.3">
      <c r="B182" s="33"/>
      <c r="C182" s="172" t="s">
        <v>385</v>
      </c>
      <c r="D182" s="172" t="s">
        <v>271</v>
      </c>
      <c r="E182" s="173" t="s">
        <v>1297</v>
      </c>
      <c r="F182" s="174" t="s">
        <v>1298</v>
      </c>
      <c r="G182" s="175" t="s">
        <v>557</v>
      </c>
      <c r="H182" s="176">
        <v>13</v>
      </c>
      <c r="I182" s="177">
        <v>7133.87</v>
      </c>
      <c r="J182" s="178">
        <f>ROUND(I182*H182,2)</f>
        <v>92740.31</v>
      </c>
      <c r="K182" s="174" t="s">
        <v>1</v>
      </c>
      <c r="L182" s="179"/>
      <c r="M182" s="180" t="s">
        <v>1</v>
      </c>
      <c r="N182" s="181" t="s">
        <v>47</v>
      </c>
      <c r="O182" s="147">
        <v>0</v>
      </c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AR182" s="149" t="s">
        <v>1299</v>
      </c>
      <c r="AT182" s="149" t="s">
        <v>271</v>
      </c>
      <c r="AU182" s="149" t="s">
        <v>20</v>
      </c>
      <c r="AY182" s="18" t="s">
        <v>184</v>
      </c>
      <c r="BE182" s="150">
        <f>IF(N182="základní",J182,0)</f>
        <v>92740.31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8" t="s">
        <v>88</v>
      </c>
      <c r="BK182" s="150">
        <f>ROUND(I182*H182,2)</f>
        <v>92740.31</v>
      </c>
      <c r="BL182" s="18" t="s">
        <v>1032</v>
      </c>
      <c r="BM182" s="149" t="s">
        <v>1300</v>
      </c>
    </row>
    <row r="183" spans="2:65" s="1" customFormat="1" ht="16.5" customHeight="1" x14ac:dyDescent="0.3">
      <c r="B183" s="33"/>
      <c r="C183" s="138" t="s">
        <v>392</v>
      </c>
      <c r="D183" s="138" t="s">
        <v>186</v>
      </c>
      <c r="E183" s="139" t="s">
        <v>1301</v>
      </c>
      <c r="F183" s="140" t="s">
        <v>1302</v>
      </c>
      <c r="G183" s="141" t="s">
        <v>557</v>
      </c>
      <c r="H183" s="142">
        <v>11</v>
      </c>
      <c r="I183" s="143">
        <v>713.39</v>
      </c>
      <c r="J183" s="144">
        <f>ROUND(I183*H183,2)</f>
        <v>7847.29</v>
      </c>
      <c r="K183" s="140" t="s">
        <v>1</v>
      </c>
      <c r="L183" s="33"/>
      <c r="M183" s="145" t="s">
        <v>1</v>
      </c>
      <c r="N183" s="146" t="s">
        <v>47</v>
      </c>
      <c r="O183" s="147">
        <v>0.32</v>
      </c>
      <c r="P183" s="147">
        <f>O183*H183</f>
        <v>3.52</v>
      </c>
      <c r="Q183" s="147">
        <v>0</v>
      </c>
      <c r="R183" s="147">
        <f>Q183*H183</f>
        <v>0</v>
      </c>
      <c r="S183" s="147">
        <v>0</v>
      </c>
      <c r="T183" s="148">
        <f>S183*H183</f>
        <v>0</v>
      </c>
      <c r="AR183" s="149" t="s">
        <v>191</v>
      </c>
      <c r="AT183" s="149" t="s">
        <v>186</v>
      </c>
      <c r="AU183" s="149" t="s">
        <v>20</v>
      </c>
      <c r="AY183" s="18" t="s">
        <v>184</v>
      </c>
      <c r="BE183" s="150">
        <f>IF(N183="základní",J183,0)</f>
        <v>7847.29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8" t="s">
        <v>88</v>
      </c>
      <c r="BK183" s="150">
        <f>ROUND(I183*H183,2)</f>
        <v>7847.29</v>
      </c>
      <c r="BL183" s="18" t="s">
        <v>191</v>
      </c>
      <c r="BM183" s="149" t="s">
        <v>1303</v>
      </c>
    </row>
    <row r="184" spans="2:65" s="1" customFormat="1" ht="16.5" customHeight="1" x14ac:dyDescent="0.3">
      <c r="B184" s="33"/>
      <c r="C184" s="172" t="s">
        <v>621</v>
      </c>
      <c r="D184" s="172" t="s">
        <v>271</v>
      </c>
      <c r="E184" s="173" t="s">
        <v>1304</v>
      </c>
      <c r="F184" s="174" t="s">
        <v>1305</v>
      </c>
      <c r="G184" s="175" t="s">
        <v>557</v>
      </c>
      <c r="H184" s="176">
        <v>11</v>
      </c>
      <c r="I184" s="177">
        <v>1141.42</v>
      </c>
      <c r="J184" s="178">
        <f>ROUND(I184*H184,2)</f>
        <v>12555.62</v>
      </c>
      <c r="K184" s="174" t="s">
        <v>1</v>
      </c>
      <c r="L184" s="179"/>
      <c r="M184" s="180" t="s">
        <v>1</v>
      </c>
      <c r="N184" s="181" t="s">
        <v>47</v>
      </c>
      <c r="O184" s="147">
        <v>0</v>
      </c>
      <c r="P184" s="147">
        <f>O184*H184</f>
        <v>0</v>
      </c>
      <c r="Q184" s="147">
        <v>0</v>
      </c>
      <c r="R184" s="147">
        <f>Q184*H184</f>
        <v>0</v>
      </c>
      <c r="S184" s="147">
        <v>0</v>
      </c>
      <c r="T184" s="148">
        <f>S184*H184</f>
        <v>0</v>
      </c>
      <c r="AR184" s="149" t="s">
        <v>239</v>
      </c>
      <c r="AT184" s="149" t="s">
        <v>271</v>
      </c>
      <c r="AU184" s="149" t="s">
        <v>20</v>
      </c>
      <c r="AY184" s="18" t="s">
        <v>184</v>
      </c>
      <c r="BE184" s="150">
        <f>IF(N184="základní",J184,0)</f>
        <v>12555.62</v>
      </c>
      <c r="BF184" s="150">
        <f>IF(N184="snížená",J184,0)</f>
        <v>0</v>
      </c>
      <c r="BG184" s="150">
        <f>IF(N184="zákl. přenesená",J184,0)</f>
        <v>0</v>
      </c>
      <c r="BH184" s="150">
        <f>IF(N184="sníž. přenesená",J184,0)</f>
        <v>0</v>
      </c>
      <c r="BI184" s="150">
        <f>IF(N184="nulová",J184,0)</f>
        <v>0</v>
      </c>
      <c r="BJ184" s="18" t="s">
        <v>88</v>
      </c>
      <c r="BK184" s="150">
        <f>ROUND(I184*H184,2)</f>
        <v>12555.62</v>
      </c>
      <c r="BL184" s="18" t="s">
        <v>191</v>
      </c>
      <c r="BM184" s="149" t="s">
        <v>1306</v>
      </c>
    </row>
    <row r="185" spans="2:65" s="11" customFormat="1" ht="22.9" customHeight="1" x14ac:dyDescent="0.2">
      <c r="B185" s="127"/>
      <c r="D185" s="128" t="s">
        <v>80</v>
      </c>
      <c r="E185" s="136" t="s">
        <v>1307</v>
      </c>
      <c r="F185" s="136" t="s">
        <v>1308</v>
      </c>
      <c r="I185" s="171"/>
      <c r="J185" s="137">
        <f>BK185</f>
        <v>414879.92</v>
      </c>
      <c r="L185" s="127"/>
      <c r="M185" s="131"/>
      <c r="P185" s="132">
        <f>SUM(P186:P213)</f>
        <v>233.84047199999998</v>
      </c>
      <c r="R185" s="132">
        <f>SUM(R186:R213)</f>
        <v>160.65341999999998</v>
      </c>
      <c r="T185" s="133">
        <f>SUM(T186:T213)</f>
        <v>0</v>
      </c>
      <c r="AR185" s="128" t="s">
        <v>202</v>
      </c>
      <c r="AT185" s="134" t="s">
        <v>80</v>
      </c>
      <c r="AU185" s="134" t="s">
        <v>88</v>
      </c>
      <c r="AY185" s="128" t="s">
        <v>184</v>
      </c>
      <c r="BK185" s="135">
        <f>SUM(BK186:BK213)</f>
        <v>414879.92</v>
      </c>
    </row>
    <row r="186" spans="2:65" s="1" customFormat="1" ht="16.5" customHeight="1" x14ac:dyDescent="0.3">
      <c r="B186" s="33"/>
      <c r="C186" s="138" t="s">
        <v>630</v>
      </c>
      <c r="D186" s="138" t="s">
        <v>186</v>
      </c>
      <c r="E186" s="139" t="s">
        <v>1309</v>
      </c>
      <c r="F186" s="140" t="s">
        <v>1310</v>
      </c>
      <c r="G186" s="141" t="s">
        <v>217</v>
      </c>
      <c r="H186" s="142">
        <v>11</v>
      </c>
      <c r="I186" s="143">
        <v>610.87</v>
      </c>
      <c r="J186" s="144">
        <f>ROUND(I186*H186,2)</f>
        <v>6719.57</v>
      </c>
      <c r="K186" s="140" t="s">
        <v>190</v>
      </c>
      <c r="L186" s="33"/>
      <c r="M186" s="145" t="s">
        <v>1</v>
      </c>
      <c r="N186" s="146" t="s">
        <v>47</v>
      </c>
      <c r="O186" s="147">
        <v>0.27200000000000002</v>
      </c>
      <c r="P186" s="147">
        <f>O186*H186</f>
        <v>2.992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AR186" s="149" t="s">
        <v>1032</v>
      </c>
      <c r="AT186" s="149" t="s">
        <v>186</v>
      </c>
      <c r="AU186" s="149" t="s">
        <v>20</v>
      </c>
      <c r="AY186" s="18" t="s">
        <v>184</v>
      </c>
      <c r="BE186" s="150">
        <f>IF(N186="základní",J186,0)</f>
        <v>6719.57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8" t="s">
        <v>88</v>
      </c>
      <c r="BK186" s="150">
        <f>ROUND(I186*H186,2)</f>
        <v>6719.57</v>
      </c>
      <c r="BL186" s="18" t="s">
        <v>1032</v>
      </c>
      <c r="BM186" s="149" t="s">
        <v>1311</v>
      </c>
    </row>
    <row r="187" spans="2:65" s="1" customFormat="1" x14ac:dyDescent="0.3">
      <c r="B187" s="33"/>
      <c r="D187" s="151" t="s">
        <v>193</v>
      </c>
      <c r="F187" s="152" t="s">
        <v>1312</v>
      </c>
      <c r="I187" s="153"/>
      <c r="L187" s="33"/>
      <c r="M187" s="154"/>
      <c r="T187" s="57"/>
      <c r="AT187" s="18" t="s">
        <v>193</v>
      </c>
      <c r="AU187" s="18" t="s">
        <v>20</v>
      </c>
    </row>
    <row r="188" spans="2:65" s="12" customFormat="1" ht="11.25" x14ac:dyDescent="0.3">
      <c r="B188" s="155"/>
      <c r="D188" s="156" t="s">
        <v>195</v>
      </c>
      <c r="E188" s="157" t="s">
        <v>1</v>
      </c>
      <c r="F188" s="158" t="s">
        <v>1313</v>
      </c>
      <c r="H188" s="159">
        <v>11</v>
      </c>
      <c r="I188" s="160"/>
      <c r="L188" s="155"/>
      <c r="M188" s="161"/>
      <c r="T188" s="162"/>
      <c r="AT188" s="157" t="s">
        <v>195</v>
      </c>
      <c r="AU188" s="157" t="s">
        <v>20</v>
      </c>
      <c r="AV188" s="12" t="s">
        <v>20</v>
      </c>
      <c r="AW188" s="12" t="s">
        <v>37</v>
      </c>
      <c r="AX188" s="12" t="s">
        <v>88</v>
      </c>
      <c r="AY188" s="157" t="s">
        <v>184</v>
      </c>
    </row>
    <row r="189" spans="2:65" s="1" customFormat="1" ht="16.5" customHeight="1" x14ac:dyDescent="0.3">
      <c r="B189" s="33"/>
      <c r="C189" s="138" t="s">
        <v>635</v>
      </c>
      <c r="D189" s="138" t="s">
        <v>186</v>
      </c>
      <c r="E189" s="139" t="s">
        <v>1314</v>
      </c>
      <c r="F189" s="140" t="s">
        <v>1315</v>
      </c>
      <c r="G189" s="141" t="s">
        <v>210</v>
      </c>
      <c r="H189" s="142">
        <v>380</v>
      </c>
      <c r="I189" s="143">
        <v>244.35</v>
      </c>
      <c r="J189" s="144">
        <f>ROUND(I189*H189,2)</f>
        <v>92853</v>
      </c>
      <c r="K189" s="140" t="s">
        <v>190</v>
      </c>
      <c r="L189" s="33"/>
      <c r="M189" s="145" t="s">
        <v>1</v>
      </c>
      <c r="N189" s="146" t="s">
        <v>47</v>
      </c>
      <c r="O189" s="147">
        <v>0.16700000000000001</v>
      </c>
      <c r="P189" s="147">
        <f>O189*H189</f>
        <v>63.46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49" t="s">
        <v>1032</v>
      </c>
      <c r="AT189" s="149" t="s">
        <v>186</v>
      </c>
      <c r="AU189" s="149" t="s">
        <v>20</v>
      </c>
      <c r="AY189" s="18" t="s">
        <v>184</v>
      </c>
      <c r="BE189" s="150">
        <f>IF(N189="základní",J189,0)</f>
        <v>92853</v>
      </c>
      <c r="BF189" s="150">
        <f>IF(N189="snížená",J189,0)</f>
        <v>0</v>
      </c>
      <c r="BG189" s="150">
        <f>IF(N189="zákl. přenesená",J189,0)</f>
        <v>0</v>
      </c>
      <c r="BH189" s="150">
        <f>IF(N189="sníž. přenesená",J189,0)</f>
        <v>0</v>
      </c>
      <c r="BI189" s="150">
        <f>IF(N189="nulová",J189,0)</f>
        <v>0</v>
      </c>
      <c r="BJ189" s="18" t="s">
        <v>88</v>
      </c>
      <c r="BK189" s="150">
        <f>ROUND(I189*H189,2)</f>
        <v>92853</v>
      </c>
      <c r="BL189" s="18" t="s">
        <v>1032</v>
      </c>
      <c r="BM189" s="149" t="s">
        <v>1316</v>
      </c>
    </row>
    <row r="190" spans="2:65" s="1" customFormat="1" x14ac:dyDescent="0.3">
      <c r="B190" s="33"/>
      <c r="D190" s="151" t="s">
        <v>193</v>
      </c>
      <c r="F190" s="152" t="s">
        <v>1317</v>
      </c>
      <c r="I190" s="153"/>
      <c r="L190" s="33"/>
      <c r="M190" s="154"/>
      <c r="T190" s="57"/>
      <c r="AT190" s="18" t="s">
        <v>193</v>
      </c>
      <c r="AU190" s="18" t="s">
        <v>20</v>
      </c>
    </row>
    <row r="191" spans="2:65" s="1" customFormat="1" ht="21.75" customHeight="1" x14ac:dyDescent="0.3">
      <c r="B191" s="33"/>
      <c r="C191" s="138" t="s">
        <v>642</v>
      </c>
      <c r="D191" s="138" t="s">
        <v>186</v>
      </c>
      <c r="E191" s="139" t="s">
        <v>1318</v>
      </c>
      <c r="F191" s="140" t="s">
        <v>1319</v>
      </c>
      <c r="G191" s="141" t="s">
        <v>217</v>
      </c>
      <c r="H191" s="142">
        <v>64.2</v>
      </c>
      <c r="I191" s="143">
        <v>142.68</v>
      </c>
      <c r="J191" s="144">
        <f>ROUND(I191*H191,2)</f>
        <v>9160.06</v>
      </c>
      <c r="K191" s="140" t="s">
        <v>190</v>
      </c>
      <c r="L191" s="33"/>
      <c r="M191" s="145" t="s">
        <v>1</v>
      </c>
      <c r="N191" s="146" t="s">
        <v>47</v>
      </c>
      <c r="O191" s="147">
        <v>9.4E-2</v>
      </c>
      <c r="P191" s="147">
        <f>O191*H191</f>
        <v>6.0348000000000006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49" t="s">
        <v>1032</v>
      </c>
      <c r="AT191" s="149" t="s">
        <v>186</v>
      </c>
      <c r="AU191" s="149" t="s">
        <v>20</v>
      </c>
      <c r="AY191" s="18" t="s">
        <v>184</v>
      </c>
      <c r="BE191" s="150">
        <f>IF(N191="základní",J191,0)</f>
        <v>9160.06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8" t="s">
        <v>88</v>
      </c>
      <c r="BK191" s="150">
        <f>ROUND(I191*H191,2)</f>
        <v>9160.06</v>
      </c>
      <c r="BL191" s="18" t="s">
        <v>1032</v>
      </c>
      <c r="BM191" s="149" t="s">
        <v>1320</v>
      </c>
    </row>
    <row r="192" spans="2:65" s="1" customFormat="1" x14ac:dyDescent="0.3">
      <c r="B192" s="33"/>
      <c r="D192" s="151" t="s">
        <v>193</v>
      </c>
      <c r="F192" s="152" t="s">
        <v>1321</v>
      </c>
      <c r="I192" s="153"/>
      <c r="L192" s="33"/>
      <c r="M192" s="154"/>
      <c r="T192" s="57"/>
      <c r="AT192" s="18" t="s">
        <v>193</v>
      </c>
      <c r="AU192" s="18" t="s">
        <v>20</v>
      </c>
    </row>
    <row r="193" spans="2:65" s="12" customFormat="1" ht="11.25" x14ac:dyDescent="0.3">
      <c r="B193" s="155"/>
      <c r="D193" s="156" t="s">
        <v>195</v>
      </c>
      <c r="E193" s="157" t="s">
        <v>1</v>
      </c>
      <c r="F193" s="158" t="s">
        <v>1322</v>
      </c>
      <c r="H193" s="159">
        <v>64.2</v>
      </c>
      <c r="I193" s="160"/>
      <c r="L193" s="155"/>
      <c r="M193" s="161"/>
      <c r="T193" s="162"/>
      <c r="AT193" s="157" t="s">
        <v>195</v>
      </c>
      <c r="AU193" s="157" t="s">
        <v>20</v>
      </c>
      <c r="AV193" s="12" t="s">
        <v>20</v>
      </c>
      <c r="AW193" s="12" t="s">
        <v>37</v>
      </c>
      <c r="AX193" s="12" t="s">
        <v>88</v>
      </c>
      <c r="AY193" s="157" t="s">
        <v>184</v>
      </c>
    </row>
    <row r="194" spans="2:65" s="1" customFormat="1" ht="24.2" customHeight="1" x14ac:dyDescent="0.3">
      <c r="B194" s="33"/>
      <c r="C194" s="138" t="s">
        <v>647</v>
      </c>
      <c r="D194" s="138" t="s">
        <v>186</v>
      </c>
      <c r="E194" s="139" t="s">
        <v>1323</v>
      </c>
      <c r="F194" s="140" t="s">
        <v>1324</v>
      </c>
      <c r="G194" s="141" t="s">
        <v>217</v>
      </c>
      <c r="H194" s="142">
        <v>834.6</v>
      </c>
      <c r="I194" s="143">
        <v>7.13</v>
      </c>
      <c r="J194" s="144">
        <f>ROUND(I194*H194,2)</f>
        <v>5950.7</v>
      </c>
      <c r="K194" s="140" t="s">
        <v>190</v>
      </c>
      <c r="L194" s="33"/>
      <c r="M194" s="145" t="s">
        <v>1</v>
      </c>
      <c r="N194" s="146" t="s">
        <v>47</v>
      </c>
      <c r="O194" s="147">
        <v>1.2999999999999999E-2</v>
      </c>
      <c r="P194" s="147">
        <f>O194*H194</f>
        <v>10.8498</v>
      </c>
      <c r="Q194" s="147">
        <v>0</v>
      </c>
      <c r="R194" s="147">
        <f>Q194*H194</f>
        <v>0</v>
      </c>
      <c r="S194" s="147">
        <v>0</v>
      </c>
      <c r="T194" s="148">
        <f>S194*H194</f>
        <v>0</v>
      </c>
      <c r="AR194" s="149" t="s">
        <v>1032</v>
      </c>
      <c r="AT194" s="149" t="s">
        <v>186</v>
      </c>
      <c r="AU194" s="149" t="s">
        <v>20</v>
      </c>
      <c r="AY194" s="18" t="s">
        <v>184</v>
      </c>
      <c r="BE194" s="150">
        <f>IF(N194="základní",J194,0)</f>
        <v>5950.7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8" t="s">
        <v>88</v>
      </c>
      <c r="BK194" s="150">
        <f>ROUND(I194*H194,2)</f>
        <v>5950.7</v>
      </c>
      <c r="BL194" s="18" t="s">
        <v>1032</v>
      </c>
      <c r="BM194" s="149" t="s">
        <v>1325</v>
      </c>
    </row>
    <row r="195" spans="2:65" s="1" customFormat="1" x14ac:dyDescent="0.3">
      <c r="B195" s="33"/>
      <c r="D195" s="151" t="s">
        <v>193</v>
      </c>
      <c r="F195" s="152" t="s">
        <v>1326</v>
      </c>
      <c r="I195" s="153"/>
      <c r="L195" s="33"/>
      <c r="M195" s="154"/>
      <c r="T195" s="57"/>
      <c r="AT195" s="18" t="s">
        <v>193</v>
      </c>
      <c r="AU195" s="18" t="s">
        <v>20</v>
      </c>
    </row>
    <row r="196" spans="2:65" s="1" customFormat="1" ht="19.5" x14ac:dyDescent="0.3">
      <c r="B196" s="33"/>
      <c r="D196" s="156" t="s">
        <v>236</v>
      </c>
      <c r="F196" s="170" t="s">
        <v>1327</v>
      </c>
      <c r="I196" s="153"/>
      <c r="L196" s="33"/>
      <c r="M196" s="154"/>
      <c r="T196" s="57"/>
      <c r="AT196" s="18" t="s">
        <v>236</v>
      </c>
      <c r="AU196" s="18" t="s">
        <v>20</v>
      </c>
    </row>
    <row r="197" spans="2:65" s="12" customFormat="1" ht="11.25" x14ac:dyDescent="0.3">
      <c r="B197" s="155"/>
      <c r="D197" s="156" t="s">
        <v>195</v>
      </c>
      <c r="E197" s="157" t="s">
        <v>1</v>
      </c>
      <c r="F197" s="158" t="s">
        <v>1328</v>
      </c>
      <c r="H197" s="159">
        <v>834.6</v>
      </c>
      <c r="I197" s="160"/>
      <c r="L197" s="155"/>
      <c r="M197" s="161"/>
      <c r="T197" s="162"/>
      <c r="AT197" s="157" t="s">
        <v>195</v>
      </c>
      <c r="AU197" s="157" t="s">
        <v>20</v>
      </c>
      <c r="AV197" s="12" t="s">
        <v>20</v>
      </c>
      <c r="AW197" s="12" t="s">
        <v>37</v>
      </c>
      <c r="AX197" s="12" t="s">
        <v>88</v>
      </c>
      <c r="AY197" s="157" t="s">
        <v>184</v>
      </c>
    </row>
    <row r="198" spans="2:65" s="1" customFormat="1" ht="16.5" customHeight="1" x14ac:dyDescent="0.3">
      <c r="B198" s="33"/>
      <c r="C198" s="138" t="s">
        <v>650</v>
      </c>
      <c r="D198" s="138" t="s">
        <v>186</v>
      </c>
      <c r="E198" s="139" t="s">
        <v>1329</v>
      </c>
      <c r="F198" s="140" t="s">
        <v>1330</v>
      </c>
      <c r="G198" s="141" t="s">
        <v>248</v>
      </c>
      <c r="H198" s="142">
        <v>128.4</v>
      </c>
      <c r="I198" s="143">
        <v>256.7</v>
      </c>
      <c r="J198" s="144">
        <f>ROUND(I198*H198,2)</f>
        <v>32960.28</v>
      </c>
      <c r="K198" s="140" t="s">
        <v>190</v>
      </c>
      <c r="L198" s="33"/>
      <c r="M198" s="145" t="s">
        <v>1</v>
      </c>
      <c r="N198" s="146" t="s">
        <v>47</v>
      </c>
      <c r="O198" s="147">
        <v>0</v>
      </c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49" t="s">
        <v>1032</v>
      </c>
      <c r="AT198" s="149" t="s">
        <v>186</v>
      </c>
      <c r="AU198" s="149" t="s">
        <v>20</v>
      </c>
      <c r="AY198" s="18" t="s">
        <v>184</v>
      </c>
      <c r="BE198" s="150">
        <f>IF(N198="základní",J198,0)</f>
        <v>32960.28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8" t="s">
        <v>88</v>
      </c>
      <c r="BK198" s="150">
        <f>ROUND(I198*H198,2)</f>
        <v>32960.28</v>
      </c>
      <c r="BL198" s="18" t="s">
        <v>1032</v>
      </c>
      <c r="BM198" s="149" t="s">
        <v>1331</v>
      </c>
    </row>
    <row r="199" spans="2:65" s="1" customFormat="1" x14ac:dyDescent="0.3">
      <c r="B199" s="33"/>
      <c r="D199" s="151" t="s">
        <v>193</v>
      </c>
      <c r="F199" s="152" t="s">
        <v>1332</v>
      </c>
      <c r="I199" s="153"/>
      <c r="L199" s="33"/>
      <c r="M199" s="154"/>
      <c r="T199" s="57"/>
      <c r="AT199" s="18" t="s">
        <v>193</v>
      </c>
      <c r="AU199" s="18" t="s">
        <v>20</v>
      </c>
    </row>
    <row r="200" spans="2:65" s="12" customFormat="1" ht="11.25" x14ac:dyDescent="0.3">
      <c r="B200" s="155"/>
      <c r="D200" s="156" t="s">
        <v>195</v>
      </c>
      <c r="E200" s="157" t="s">
        <v>1</v>
      </c>
      <c r="F200" s="158" t="s">
        <v>1333</v>
      </c>
      <c r="H200" s="159">
        <v>128.4</v>
      </c>
      <c r="I200" s="160"/>
      <c r="L200" s="155"/>
      <c r="M200" s="161"/>
      <c r="T200" s="162"/>
      <c r="AT200" s="157" t="s">
        <v>195</v>
      </c>
      <c r="AU200" s="157" t="s">
        <v>20</v>
      </c>
      <c r="AV200" s="12" t="s">
        <v>20</v>
      </c>
      <c r="AW200" s="12" t="s">
        <v>37</v>
      </c>
      <c r="AX200" s="12" t="s">
        <v>88</v>
      </c>
      <c r="AY200" s="157" t="s">
        <v>184</v>
      </c>
    </row>
    <row r="201" spans="2:65" s="1" customFormat="1" ht="16.5" customHeight="1" x14ac:dyDescent="0.3">
      <c r="B201" s="33"/>
      <c r="C201" s="138" t="s">
        <v>916</v>
      </c>
      <c r="D201" s="138" t="s">
        <v>186</v>
      </c>
      <c r="E201" s="139" t="s">
        <v>1334</v>
      </c>
      <c r="F201" s="140" t="s">
        <v>1335</v>
      </c>
      <c r="G201" s="141" t="s">
        <v>210</v>
      </c>
      <c r="H201" s="142">
        <v>380</v>
      </c>
      <c r="I201" s="143">
        <v>91.63</v>
      </c>
      <c r="J201" s="144">
        <f>ROUND(I201*H201,2)</f>
        <v>34819.4</v>
      </c>
      <c r="K201" s="140" t="s">
        <v>190</v>
      </c>
      <c r="L201" s="33"/>
      <c r="M201" s="145" t="s">
        <v>1</v>
      </c>
      <c r="N201" s="146" t="s">
        <v>47</v>
      </c>
      <c r="O201" s="147">
        <v>0.113</v>
      </c>
      <c r="P201" s="147">
        <f>O201*H201</f>
        <v>42.94</v>
      </c>
      <c r="Q201" s="147">
        <v>0</v>
      </c>
      <c r="R201" s="147">
        <f>Q201*H201</f>
        <v>0</v>
      </c>
      <c r="S201" s="147">
        <v>0</v>
      </c>
      <c r="T201" s="148">
        <f>S201*H201</f>
        <v>0</v>
      </c>
      <c r="AR201" s="149" t="s">
        <v>1032</v>
      </c>
      <c r="AT201" s="149" t="s">
        <v>186</v>
      </c>
      <c r="AU201" s="149" t="s">
        <v>20</v>
      </c>
      <c r="AY201" s="18" t="s">
        <v>184</v>
      </c>
      <c r="BE201" s="150">
        <f>IF(N201="základní",J201,0)</f>
        <v>34819.4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8" t="s">
        <v>88</v>
      </c>
      <c r="BK201" s="150">
        <f>ROUND(I201*H201,2)</f>
        <v>34819.4</v>
      </c>
      <c r="BL201" s="18" t="s">
        <v>1032</v>
      </c>
      <c r="BM201" s="149" t="s">
        <v>1336</v>
      </c>
    </row>
    <row r="202" spans="2:65" s="1" customFormat="1" x14ac:dyDescent="0.3">
      <c r="B202" s="33"/>
      <c r="D202" s="151" t="s">
        <v>193</v>
      </c>
      <c r="F202" s="152" t="s">
        <v>1337</v>
      </c>
      <c r="I202" s="153"/>
      <c r="L202" s="33"/>
      <c r="M202" s="154"/>
      <c r="T202" s="57"/>
      <c r="AT202" s="18" t="s">
        <v>193</v>
      </c>
      <c r="AU202" s="18" t="s">
        <v>20</v>
      </c>
    </row>
    <row r="203" spans="2:65" s="1" customFormat="1" ht="16.5" customHeight="1" x14ac:dyDescent="0.3">
      <c r="B203" s="33"/>
      <c r="C203" s="172" t="s">
        <v>921</v>
      </c>
      <c r="D203" s="172" t="s">
        <v>271</v>
      </c>
      <c r="E203" s="173" t="s">
        <v>1338</v>
      </c>
      <c r="F203" s="174" t="s">
        <v>1339</v>
      </c>
      <c r="G203" s="175" t="s">
        <v>248</v>
      </c>
      <c r="H203" s="176">
        <v>59.308</v>
      </c>
      <c r="I203" s="177">
        <v>398.07</v>
      </c>
      <c r="J203" s="178">
        <f>ROUND(I203*H203,2)</f>
        <v>23608.74</v>
      </c>
      <c r="K203" s="174" t="s">
        <v>658</v>
      </c>
      <c r="L203" s="179"/>
      <c r="M203" s="180" t="s">
        <v>1</v>
      </c>
      <c r="N203" s="181" t="s">
        <v>47</v>
      </c>
      <c r="O203" s="147">
        <v>0</v>
      </c>
      <c r="P203" s="147">
        <f>O203*H203</f>
        <v>0</v>
      </c>
      <c r="Q203" s="147">
        <v>1</v>
      </c>
      <c r="R203" s="147">
        <f>Q203*H203</f>
        <v>59.308</v>
      </c>
      <c r="S203" s="147">
        <v>0</v>
      </c>
      <c r="T203" s="148">
        <f>S203*H203</f>
        <v>0</v>
      </c>
      <c r="AR203" s="149" t="s">
        <v>1299</v>
      </c>
      <c r="AT203" s="149" t="s">
        <v>271</v>
      </c>
      <c r="AU203" s="149" t="s">
        <v>20</v>
      </c>
      <c r="AY203" s="18" t="s">
        <v>184</v>
      </c>
      <c r="BE203" s="150">
        <f>IF(N203="základní",J203,0)</f>
        <v>23608.74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8" t="s">
        <v>88</v>
      </c>
      <c r="BK203" s="150">
        <f>ROUND(I203*H203,2)</f>
        <v>23608.74</v>
      </c>
      <c r="BL203" s="18" t="s">
        <v>1032</v>
      </c>
      <c r="BM203" s="149" t="s">
        <v>1340</v>
      </c>
    </row>
    <row r="204" spans="2:65" s="12" customFormat="1" ht="11.25" x14ac:dyDescent="0.3">
      <c r="B204" s="155"/>
      <c r="D204" s="156" t="s">
        <v>195</v>
      </c>
      <c r="E204" s="157" t="s">
        <v>1</v>
      </c>
      <c r="F204" s="158" t="s">
        <v>1341</v>
      </c>
      <c r="H204" s="159">
        <v>29.654</v>
      </c>
      <c r="I204" s="160"/>
      <c r="L204" s="155"/>
      <c r="M204" s="161"/>
      <c r="T204" s="162"/>
      <c r="AT204" s="157" t="s">
        <v>195</v>
      </c>
      <c r="AU204" s="157" t="s">
        <v>20</v>
      </c>
      <c r="AV204" s="12" t="s">
        <v>20</v>
      </c>
      <c r="AW204" s="12" t="s">
        <v>37</v>
      </c>
      <c r="AX204" s="12" t="s">
        <v>81</v>
      </c>
      <c r="AY204" s="157" t="s">
        <v>184</v>
      </c>
    </row>
    <row r="205" spans="2:65" s="12" customFormat="1" ht="11.25" x14ac:dyDescent="0.3">
      <c r="B205" s="155"/>
      <c r="D205" s="156" t="s">
        <v>195</v>
      </c>
      <c r="E205" s="157" t="s">
        <v>1</v>
      </c>
      <c r="F205" s="158" t="s">
        <v>1342</v>
      </c>
      <c r="H205" s="159">
        <v>59.308</v>
      </c>
      <c r="I205" s="160"/>
      <c r="L205" s="155"/>
      <c r="M205" s="161"/>
      <c r="T205" s="162"/>
      <c r="AT205" s="157" t="s">
        <v>195</v>
      </c>
      <c r="AU205" s="157" t="s">
        <v>20</v>
      </c>
      <c r="AV205" s="12" t="s">
        <v>20</v>
      </c>
      <c r="AW205" s="12" t="s">
        <v>37</v>
      </c>
      <c r="AX205" s="12" t="s">
        <v>88</v>
      </c>
      <c r="AY205" s="157" t="s">
        <v>184</v>
      </c>
    </row>
    <row r="206" spans="2:65" s="1" customFormat="1" ht="16.5" customHeight="1" x14ac:dyDescent="0.3">
      <c r="B206" s="33"/>
      <c r="C206" s="138" t="s">
        <v>926</v>
      </c>
      <c r="D206" s="138" t="s">
        <v>186</v>
      </c>
      <c r="E206" s="139" t="s">
        <v>1343</v>
      </c>
      <c r="F206" s="140" t="s">
        <v>1344</v>
      </c>
      <c r="G206" s="141" t="s">
        <v>217</v>
      </c>
      <c r="H206" s="142">
        <v>11</v>
      </c>
      <c r="I206" s="143">
        <v>7688.92</v>
      </c>
      <c r="J206" s="144">
        <f>ROUND(I206*H206,2)</f>
        <v>84578.12</v>
      </c>
      <c r="K206" s="140" t="s">
        <v>190</v>
      </c>
      <c r="L206" s="33"/>
      <c r="M206" s="145" t="s">
        <v>1</v>
      </c>
      <c r="N206" s="146" t="s">
        <v>47</v>
      </c>
      <c r="O206" s="147">
        <v>0.47699999999999998</v>
      </c>
      <c r="P206" s="147">
        <f>O206*H206</f>
        <v>5.2469999999999999</v>
      </c>
      <c r="Q206" s="147">
        <v>2.3010199999999998</v>
      </c>
      <c r="R206" s="147">
        <f>Q206*H206</f>
        <v>25.311219999999999</v>
      </c>
      <c r="S206" s="147">
        <v>0</v>
      </c>
      <c r="T206" s="148">
        <f>S206*H206</f>
        <v>0</v>
      </c>
      <c r="AR206" s="149" t="s">
        <v>1032</v>
      </c>
      <c r="AT206" s="149" t="s">
        <v>186</v>
      </c>
      <c r="AU206" s="149" t="s">
        <v>20</v>
      </c>
      <c r="AY206" s="18" t="s">
        <v>184</v>
      </c>
      <c r="BE206" s="150">
        <f>IF(N206="základní",J206,0)</f>
        <v>84578.12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8" t="s">
        <v>88</v>
      </c>
      <c r="BK206" s="150">
        <f>ROUND(I206*H206,2)</f>
        <v>84578.12</v>
      </c>
      <c r="BL206" s="18" t="s">
        <v>1032</v>
      </c>
      <c r="BM206" s="149" t="s">
        <v>1345</v>
      </c>
    </row>
    <row r="207" spans="2:65" s="1" customFormat="1" x14ac:dyDescent="0.3">
      <c r="B207" s="33"/>
      <c r="D207" s="151" t="s">
        <v>193</v>
      </c>
      <c r="F207" s="152" t="s">
        <v>1346</v>
      </c>
      <c r="I207" s="153"/>
      <c r="L207" s="33"/>
      <c r="M207" s="154"/>
      <c r="T207" s="57"/>
      <c r="AT207" s="18" t="s">
        <v>193</v>
      </c>
      <c r="AU207" s="18" t="s">
        <v>20</v>
      </c>
    </row>
    <row r="208" spans="2:65" s="1" customFormat="1" ht="16.5" customHeight="1" x14ac:dyDescent="0.3">
      <c r="B208" s="33"/>
      <c r="C208" s="138" t="s">
        <v>27</v>
      </c>
      <c r="D208" s="138" t="s">
        <v>186</v>
      </c>
      <c r="E208" s="139" t="s">
        <v>1347</v>
      </c>
      <c r="F208" s="140" t="s">
        <v>1348</v>
      </c>
      <c r="G208" s="141" t="s">
        <v>210</v>
      </c>
      <c r="H208" s="142">
        <v>380</v>
      </c>
      <c r="I208" s="143">
        <v>183.26</v>
      </c>
      <c r="J208" s="144">
        <f>ROUND(I208*H208,2)</f>
        <v>69638.8</v>
      </c>
      <c r="K208" s="140" t="s">
        <v>190</v>
      </c>
      <c r="L208" s="33"/>
      <c r="M208" s="145" t="s">
        <v>1</v>
      </c>
      <c r="N208" s="146" t="s">
        <v>47</v>
      </c>
      <c r="O208" s="147">
        <v>6.5000000000000002E-2</v>
      </c>
      <c r="P208" s="147">
        <f>O208*H208</f>
        <v>24.7</v>
      </c>
      <c r="Q208" s="147">
        <v>0.2</v>
      </c>
      <c r="R208" s="147">
        <f>Q208*H208</f>
        <v>76</v>
      </c>
      <c r="S208" s="147">
        <v>0</v>
      </c>
      <c r="T208" s="148">
        <f>S208*H208</f>
        <v>0</v>
      </c>
      <c r="AR208" s="149" t="s">
        <v>1032</v>
      </c>
      <c r="AT208" s="149" t="s">
        <v>186</v>
      </c>
      <c r="AU208" s="149" t="s">
        <v>20</v>
      </c>
      <c r="AY208" s="18" t="s">
        <v>184</v>
      </c>
      <c r="BE208" s="150">
        <f>IF(N208="základní",J208,0)</f>
        <v>69638.8</v>
      </c>
      <c r="BF208" s="150">
        <f>IF(N208="snížená",J208,0)</f>
        <v>0</v>
      </c>
      <c r="BG208" s="150">
        <f>IF(N208="zákl. přenesená",J208,0)</f>
        <v>0</v>
      </c>
      <c r="BH208" s="150">
        <f>IF(N208="sníž. přenesená",J208,0)</f>
        <v>0</v>
      </c>
      <c r="BI208" s="150">
        <f>IF(N208="nulová",J208,0)</f>
        <v>0</v>
      </c>
      <c r="BJ208" s="18" t="s">
        <v>88</v>
      </c>
      <c r="BK208" s="150">
        <f>ROUND(I208*H208,2)</f>
        <v>69638.8</v>
      </c>
      <c r="BL208" s="18" t="s">
        <v>1032</v>
      </c>
      <c r="BM208" s="149" t="s">
        <v>1349</v>
      </c>
    </row>
    <row r="209" spans="2:65" s="1" customFormat="1" x14ac:dyDescent="0.3">
      <c r="B209" s="33"/>
      <c r="D209" s="151" t="s">
        <v>193</v>
      </c>
      <c r="F209" s="152" t="s">
        <v>1350</v>
      </c>
      <c r="I209" s="153"/>
      <c r="L209" s="33"/>
      <c r="M209" s="154"/>
      <c r="T209" s="57"/>
      <c r="AT209" s="18" t="s">
        <v>193</v>
      </c>
      <c r="AU209" s="18" t="s">
        <v>20</v>
      </c>
    </row>
    <row r="210" spans="2:65" s="1" customFormat="1" ht="16.5" customHeight="1" x14ac:dyDescent="0.3">
      <c r="B210" s="33"/>
      <c r="C210" s="138" t="s">
        <v>936</v>
      </c>
      <c r="D210" s="138" t="s">
        <v>186</v>
      </c>
      <c r="E210" s="139" t="s">
        <v>1351</v>
      </c>
      <c r="F210" s="140" t="s">
        <v>1352</v>
      </c>
      <c r="G210" s="141" t="s">
        <v>210</v>
      </c>
      <c r="H210" s="142">
        <v>380</v>
      </c>
      <c r="I210" s="143">
        <v>14.53</v>
      </c>
      <c r="J210" s="144">
        <f>ROUND(I210*H210,2)</f>
        <v>5521.4</v>
      </c>
      <c r="K210" s="140" t="s">
        <v>190</v>
      </c>
      <c r="L210" s="33"/>
      <c r="M210" s="145" t="s">
        <v>1</v>
      </c>
      <c r="N210" s="146" t="s">
        <v>47</v>
      </c>
      <c r="O210" s="147">
        <v>2.5000000000000001E-2</v>
      </c>
      <c r="P210" s="147">
        <f>O210*H210</f>
        <v>9.5</v>
      </c>
      <c r="Q210" s="147">
        <v>9.0000000000000006E-5</v>
      </c>
      <c r="R210" s="147">
        <f>Q210*H210</f>
        <v>3.4200000000000001E-2</v>
      </c>
      <c r="S210" s="147">
        <v>0</v>
      </c>
      <c r="T210" s="148">
        <f>S210*H210</f>
        <v>0</v>
      </c>
      <c r="AR210" s="149" t="s">
        <v>1032</v>
      </c>
      <c r="AT210" s="149" t="s">
        <v>186</v>
      </c>
      <c r="AU210" s="149" t="s">
        <v>20</v>
      </c>
      <c r="AY210" s="18" t="s">
        <v>184</v>
      </c>
      <c r="BE210" s="150">
        <f>IF(N210="základní",J210,0)</f>
        <v>5521.4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8" t="s">
        <v>88</v>
      </c>
      <c r="BK210" s="150">
        <f>ROUND(I210*H210,2)</f>
        <v>5521.4</v>
      </c>
      <c r="BL210" s="18" t="s">
        <v>1032</v>
      </c>
      <c r="BM210" s="149" t="s">
        <v>1353</v>
      </c>
    </row>
    <row r="211" spans="2:65" s="1" customFormat="1" x14ac:dyDescent="0.3">
      <c r="B211" s="33"/>
      <c r="D211" s="151" t="s">
        <v>193</v>
      </c>
      <c r="F211" s="152" t="s">
        <v>1354</v>
      </c>
      <c r="I211" s="153"/>
      <c r="L211" s="33"/>
      <c r="M211" s="154"/>
      <c r="T211" s="57"/>
      <c r="AT211" s="18" t="s">
        <v>193</v>
      </c>
      <c r="AU211" s="18" t="s">
        <v>20</v>
      </c>
    </row>
    <row r="212" spans="2:65" s="1" customFormat="1" ht="16.5" customHeight="1" x14ac:dyDescent="0.3">
      <c r="B212" s="33"/>
      <c r="C212" s="138" t="s">
        <v>941</v>
      </c>
      <c r="D212" s="138" t="s">
        <v>186</v>
      </c>
      <c r="E212" s="139" t="s">
        <v>1355</v>
      </c>
      <c r="F212" s="140" t="s">
        <v>1356</v>
      </c>
      <c r="G212" s="141" t="s">
        <v>248</v>
      </c>
      <c r="H212" s="142">
        <v>160.65299999999999</v>
      </c>
      <c r="I212" s="143">
        <v>305.44</v>
      </c>
      <c r="J212" s="144">
        <f>ROUND(I212*H212,2)</f>
        <v>49069.85</v>
      </c>
      <c r="K212" s="140" t="s">
        <v>190</v>
      </c>
      <c r="L212" s="33"/>
      <c r="M212" s="145" t="s">
        <v>1</v>
      </c>
      <c r="N212" s="146" t="s">
        <v>47</v>
      </c>
      <c r="O212" s="147">
        <v>0.42399999999999999</v>
      </c>
      <c r="P212" s="147">
        <f>O212*H212</f>
        <v>68.116872000000001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49" t="s">
        <v>1032</v>
      </c>
      <c r="AT212" s="149" t="s">
        <v>186</v>
      </c>
      <c r="AU212" s="149" t="s">
        <v>20</v>
      </c>
      <c r="AY212" s="18" t="s">
        <v>184</v>
      </c>
      <c r="BE212" s="150">
        <f>IF(N212="základní",J212,0)</f>
        <v>49069.85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8" t="s">
        <v>88</v>
      </c>
      <c r="BK212" s="150">
        <f>ROUND(I212*H212,2)</f>
        <v>49069.85</v>
      </c>
      <c r="BL212" s="18" t="s">
        <v>1032</v>
      </c>
      <c r="BM212" s="149" t="s">
        <v>1357</v>
      </c>
    </row>
    <row r="213" spans="2:65" s="1" customFormat="1" x14ac:dyDescent="0.3">
      <c r="B213" s="33"/>
      <c r="D213" s="151" t="s">
        <v>193</v>
      </c>
      <c r="F213" s="152" t="s">
        <v>1358</v>
      </c>
      <c r="I213" s="153"/>
      <c r="L213" s="33"/>
      <c r="M213" s="189"/>
      <c r="N213" s="190"/>
      <c r="O213" s="190"/>
      <c r="P213" s="190"/>
      <c r="Q213" s="190"/>
      <c r="R213" s="190"/>
      <c r="S213" s="190"/>
      <c r="T213" s="191"/>
      <c r="AT213" s="18" t="s">
        <v>193</v>
      </c>
      <c r="AU213" s="18" t="s">
        <v>20</v>
      </c>
    </row>
    <row r="214" spans="2:65" s="1" customFormat="1" ht="6.95" customHeight="1" x14ac:dyDescent="0.3">
      <c r="B214" s="45"/>
      <c r="C214" s="46"/>
      <c r="D214" s="46"/>
      <c r="E214" s="46"/>
      <c r="F214" s="46"/>
      <c r="G214" s="46"/>
      <c r="H214" s="46"/>
      <c r="I214" s="188"/>
      <c r="J214" s="46"/>
      <c r="K214" s="46"/>
      <c r="L214" s="33"/>
    </row>
  </sheetData>
  <sheetProtection sheet="1" objects="1" scenarios="1"/>
  <autoFilter ref="C123:K213" xr:uid="{5198B49F-F7C5-41DF-B9E0-3908FC0177D8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hyperlinks>
    <hyperlink ref="F128" r:id="rId1" xr:uid="{510921CE-F9AF-4243-8FFF-4056E7D18097}"/>
    <hyperlink ref="F132" r:id="rId2" xr:uid="{3A1871F2-23FA-4FBF-9ED4-D5DE1FA9F5C3}"/>
    <hyperlink ref="F136" r:id="rId3" xr:uid="{FBBCC1DE-F89D-45B6-BA08-1B3CE1F6A9C5}"/>
    <hyperlink ref="F143" r:id="rId4" xr:uid="{2BCCA066-E0A8-47A1-979E-6E1931C77A5D}"/>
    <hyperlink ref="F147" r:id="rId5" xr:uid="{A2185A16-B592-4895-B433-8A8C5D2E2636}"/>
    <hyperlink ref="F151" r:id="rId6" xr:uid="{66CA6E95-601C-4AFE-A018-0048B419E008}"/>
    <hyperlink ref="F160" r:id="rId7" xr:uid="{FDAC1329-CEA1-41D1-97AC-5FA500B01791}"/>
    <hyperlink ref="F167" r:id="rId8" xr:uid="{03486274-A39C-4B06-A860-C24A0BF625F4}"/>
    <hyperlink ref="F170" r:id="rId9" xr:uid="{78B55EA1-B535-4524-85E2-F30F6B416E44}"/>
    <hyperlink ref="F175" r:id="rId10" xr:uid="{69AD882C-AEE5-4C68-BC13-F702254D3E3D}"/>
    <hyperlink ref="F178" r:id="rId11" xr:uid="{33F461A0-ABC8-42DA-AEF6-879DCDFED9D2}"/>
    <hyperlink ref="F181" r:id="rId12" xr:uid="{948B28B8-540B-4DA2-8D73-354A58B9F54D}"/>
    <hyperlink ref="F187" r:id="rId13" xr:uid="{0D77CCB2-0DE9-4545-B50E-AFDF268AA55D}"/>
    <hyperlink ref="F190" r:id="rId14" xr:uid="{84D6AB3E-23F7-47F9-B591-627146873160}"/>
    <hyperlink ref="F192" r:id="rId15" xr:uid="{44C6F759-78F2-4C2F-A04B-FF00F5B90D1B}"/>
    <hyperlink ref="F195" r:id="rId16" xr:uid="{8C55F5CA-6FBB-4E2B-8BDC-0F5719762530}"/>
    <hyperlink ref="F199" r:id="rId17" xr:uid="{5B7F8482-A4D7-4A59-BE0B-697FB61C38CF}"/>
    <hyperlink ref="F202" r:id="rId18" xr:uid="{A44A2292-8B0C-4C8B-8FF7-2A671FA1AEE1}"/>
    <hyperlink ref="F207" r:id="rId19" xr:uid="{B01E7C48-68BD-47B1-9DA1-FA5AA2B01D90}"/>
    <hyperlink ref="F209" r:id="rId20" xr:uid="{56F635A8-3E0E-438A-92C8-D8A7EC8CE174}"/>
    <hyperlink ref="F211" r:id="rId21" xr:uid="{865AD466-326C-4852-99C7-374AEF722209}"/>
    <hyperlink ref="F213" r:id="rId22" xr:uid="{7824B1EC-536C-4828-84DF-1A4CFED31B8E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2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94034-38A9-4AD1-A227-FF9C212D1E04}">
  <sheetPr>
    <tabColor indexed="40"/>
    <pageSetUpPr fitToPage="1"/>
  </sheetPr>
  <dimension ref="B2:BM136"/>
  <sheetViews>
    <sheetView showGridLines="0" zoomScaleNormal="100" workbookViewId="0">
      <selection activeCell="I133" sqref="I133"/>
    </sheetView>
  </sheetViews>
  <sheetFormatPr defaultRowHeight="13.5" x14ac:dyDescent="0.3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 x14ac:dyDescent="0.3">
      <c r="L2" s="327" t="s">
        <v>149</v>
      </c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110</v>
      </c>
    </row>
    <row r="3" spans="2:4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20</v>
      </c>
    </row>
    <row r="4" spans="2:46" ht="24.95" customHeight="1" x14ac:dyDescent="0.3">
      <c r="B4" s="21"/>
      <c r="D4" s="22" t="s">
        <v>150</v>
      </c>
      <c r="L4" s="21"/>
      <c r="M4" s="92" t="s">
        <v>9</v>
      </c>
      <c r="AT4" s="18" t="s">
        <v>3</v>
      </c>
    </row>
    <row r="5" spans="2:46" ht="6.95" customHeight="1" x14ac:dyDescent="0.3">
      <c r="B5" s="21"/>
      <c r="L5" s="21"/>
    </row>
    <row r="6" spans="2:46" ht="12" customHeight="1" x14ac:dyDescent="0.3">
      <c r="B6" s="21"/>
      <c r="D6" s="28" t="s">
        <v>15</v>
      </c>
      <c r="L6" s="21"/>
    </row>
    <row r="7" spans="2:46" ht="16.5" customHeight="1" x14ac:dyDescent="0.3">
      <c r="B7" s="21"/>
      <c r="E7" s="324" t="s">
        <v>151</v>
      </c>
      <c r="F7" s="325"/>
      <c r="G7" s="325"/>
      <c r="H7" s="325"/>
      <c r="L7" s="21"/>
    </row>
    <row r="8" spans="2:46" s="1" customFormat="1" ht="12" customHeight="1" x14ac:dyDescent="0.3">
      <c r="B8" s="33"/>
      <c r="D8" s="28" t="s">
        <v>152</v>
      </c>
      <c r="L8" s="33"/>
    </row>
    <row r="9" spans="2:46" s="1" customFormat="1" ht="16.5" customHeight="1" x14ac:dyDescent="0.3">
      <c r="B9" s="33"/>
      <c r="E9" s="308" t="s">
        <v>1359</v>
      </c>
      <c r="F9" s="326"/>
      <c r="G9" s="326"/>
      <c r="H9" s="326"/>
      <c r="L9" s="33"/>
    </row>
    <row r="10" spans="2:46" s="1" customFormat="1" x14ac:dyDescent="0.3">
      <c r="B10" s="33"/>
      <c r="L10" s="33"/>
    </row>
    <row r="11" spans="2:46" s="1" customFormat="1" ht="12" customHeight="1" x14ac:dyDescent="0.3">
      <c r="B11" s="33"/>
      <c r="D11" s="28" t="s">
        <v>17</v>
      </c>
      <c r="F11" s="26" t="s">
        <v>1</v>
      </c>
      <c r="I11" s="28" t="s">
        <v>19</v>
      </c>
      <c r="J11" s="26" t="s">
        <v>1</v>
      </c>
      <c r="L11" s="33"/>
    </row>
    <row r="12" spans="2:46" s="1" customFormat="1" ht="12" customHeight="1" x14ac:dyDescent="0.3">
      <c r="B12" s="33"/>
      <c r="D12" s="28" t="s">
        <v>21</v>
      </c>
      <c r="F12" s="26" t="s">
        <v>22</v>
      </c>
      <c r="I12" s="28" t="s">
        <v>23</v>
      </c>
      <c r="J12" s="93">
        <f>'Rekapitulace I.+II.'!AN8</f>
        <v>45678</v>
      </c>
      <c r="L12" s="33"/>
    </row>
    <row r="13" spans="2:46" s="1" customFormat="1" ht="10.9" customHeight="1" x14ac:dyDescent="0.3">
      <c r="B13" s="33"/>
      <c r="L13" s="33"/>
    </row>
    <row r="14" spans="2:46" s="1" customFormat="1" ht="12" customHeight="1" x14ac:dyDescent="0.3">
      <c r="B14" s="33"/>
      <c r="D14" s="28" t="s">
        <v>28</v>
      </c>
      <c r="I14" s="28" t="s">
        <v>29</v>
      </c>
      <c r="J14" s="26" t="s">
        <v>30</v>
      </c>
      <c r="L14" s="33"/>
    </row>
    <row r="15" spans="2:46" s="1" customFormat="1" ht="18" customHeight="1" x14ac:dyDescent="0.3">
      <c r="B15" s="33"/>
      <c r="E15" s="26" t="s">
        <v>31</v>
      </c>
      <c r="I15" s="28" t="s">
        <v>32</v>
      </c>
      <c r="J15" s="26" t="s">
        <v>1</v>
      </c>
      <c r="L15" s="33"/>
    </row>
    <row r="16" spans="2:46" s="1" customFormat="1" ht="6.95" customHeight="1" x14ac:dyDescent="0.3">
      <c r="B16" s="33"/>
      <c r="L16" s="33"/>
    </row>
    <row r="17" spans="2:12" s="1" customFormat="1" ht="12" customHeight="1" x14ac:dyDescent="0.3">
      <c r="B17" s="33"/>
      <c r="D17" s="28" t="s">
        <v>33</v>
      </c>
      <c r="I17" s="28" t="s">
        <v>29</v>
      </c>
      <c r="J17" s="94">
        <f>'Rekapitulace I.+II.'!AN13</f>
        <v>0</v>
      </c>
      <c r="L17" s="33"/>
    </row>
    <row r="18" spans="2:12" s="1" customFormat="1" ht="18" customHeight="1" x14ac:dyDescent="0.3">
      <c r="B18" s="33"/>
      <c r="E18" s="94">
        <f>'Rekapitulace I.+II.'!E14:AI14</f>
        <v>0</v>
      </c>
      <c r="I18" s="28" t="s">
        <v>32</v>
      </c>
      <c r="J18" s="94">
        <f>'Rekapitulace I.+II.'!AN14</f>
        <v>0</v>
      </c>
      <c r="L18" s="33"/>
    </row>
    <row r="19" spans="2:12" s="1" customFormat="1" ht="6.95" customHeight="1" x14ac:dyDescent="0.3">
      <c r="B19" s="33"/>
      <c r="L19" s="33"/>
    </row>
    <row r="20" spans="2:12" s="1" customFormat="1" ht="12" customHeight="1" x14ac:dyDescent="0.3">
      <c r="B20" s="33"/>
      <c r="D20" s="28" t="s">
        <v>34</v>
      </c>
      <c r="I20" s="28" t="s">
        <v>29</v>
      </c>
      <c r="J20" s="26" t="s">
        <v>35</v>
      </c>
      <c r="L20" s="33"/>
    </row>
    <row r="21" spans="2:12" s="1" customFormat="1" ht="18" customHeight="1" x14ac:dyDescent="0.3">
      <c r="B21" s="33"/>
      <c r="E21" s="26" t="s">
        <v>36</v>
      </c>
      <c r="I21" s="28" t="s">
        <v>32</v>
      </c>
      <c r="J21" s="26" t="s">
        <v>1</v>
      </c>
      <c r="L21" s="33"/>
    </row>
    <row r="22" spans="2:12" s="1" customFormat="1" ht="6.95" customHeight="1" x14ac:dyDescent="0.3">
      <c r="B22" s="33"/>
      <c r="L22" s="33"/>
    </row>
    <row r="23" spans="2:12" s="1" customFormat="1" ht="12" customHeight="1" x14ac:dyDescent="0.3">
      <c r="B23" s="33"/>
      <c r="D23" s="28" t="s">
        <v>38</v>
      </c>
      <c r="I23" s="28" t="s">
        <v>29</v>
      </c>
      <c r="J23" s="26" t="s">
        <v>39</v>
      </c>
      <c r="L23" s="33"/>
    </row>
    <row r="24" spans="2:12" s="1" customFormat="1" ht="18" customHeight="1" x14ac:dyDescent="0.3">
      <c r="B24" s="33"/>
      <c r="E24" s="26" t="s">
        <v>40</v>
      </c>
      <c r="I24" s="28" t="s">
        <v>32</v>
      </c>
      <c r="J24" s="26" t="s">
        <v>1</v>
      </c>
      <c r="L24" s="33"/>
    </row>
    <row r="25" spans="2:12" s="1" customFormat="1" ht="6.95" customHeight="1" x14ac:dyDescent="0.3">
      <c r="B25" s="33"/>
      <c r="L25" s="33"/>
    </row>
    <row r="26" spans="2:12" s="1" customFormat="1" ht="12" customHeight="1" x14ac:dyDescent="0.3">
      <c r="B26" s="33"/>
      <c r="D26" s="28" t="s">
        <v>41</v>
      </c>
      <c r="L26" s="33"/>
    </row>
    <row r="27" spans="2:12" s="7" customFormat="1" ht="16.5" customHeight="1" x14ac:dyDescent="0.3">
      <c r="B27" s="95"/>
      <c r="E27" s="328"/>
      <c r="F27" s="328"/>
      <c r="G27" s="328"/>
      <c r="H27" s="328"/>
      <c r="L27" s="95"/>
    </row>
    <row r="28" spans="2:12" s="1" customFormat="1" ht="6.95" customHeight="1" x14ac:dyDescent="0.3">
      <c r="B28" s="33"/>
      <c r="L28" s="33"/>
    </row>
    <row r="29" spans="2:12" s="1" customFormat="1" ht="6.95" customHeight="1" x14ac:dyDescent="0.3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 x14ac:dyDescent="0.3">
      <c r="B30" s="33"/>
      <c r="D30" s="97" t="s">
        <v>42</v>
      </c>
      <c r="J30" s="67">
        <f>ROUND(J120, 2)</f>
        <v>222846.42</v>
      </c>
      <c r="L30" s="33"/>
    </row>
    <row r="31" spans="2:12" s="1" customFormat="1" ht="6.95" customHeight="1" x14ac:dyDescent="0.3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 x14ac:dyDescent="0.3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 x14ac:dyDescent="0.3">
      <c r="B33" s="33"/>
      <c r="D33" s="56" t="s">
        <v>46</v>
      </c>
      <c r="E33" s="28" t="s">
        <v>47</v>
      </c>
      <c r="F33" s="98">
        <f>ROUND((SUM(BE120:BE135)),  2)</f>
        <v>222846.42</v>
      </c>
      <c r="I33" s="99">
        <v>0.21</v>
      </c>
      <c r="J33" s="98">
        <f>ROUND(((SUM(BE120:BE135))*I33),  2)</f>
        <v>46797.75</v>
      </c>
      <c r="L33" s="33"/>
    </row>
    <row r="34" spans="2:12" s="1" customFormat="1" ht="14.45" customHeight="1" x14ac:dyDescent="0.3">
      <c r="B34" s="33"/>
      <c r="E34" s="28" t="s">
        <v>48</v>
      </c>
      <c r="F34" s="98">
        <f>ROUND((SUM(BF120:BF135)),  2)</f>
        <v>0</v>
      </c>
      <c r="I34" s="99">
        <v>0.15</v>
      </c>
      <c r="J34" s="98">
        <f>ROUND(((SUM(BF120:BF135))*I34),  2)</f>
        <v>0</v>
      </c>
      <c r="L34" s="33"/>
    </row>
    <row r="35" spans="2:12" s="1" customFormat="1" ht="14.45" hidden="1" customHeight="1" x14ac:dyDescent="0.3">
      <c r="B35" s="33"/>
      <c r="E35" s="28" t="s">
        <v>49</v>
      </c>
      <c r="F35" s="98">
        <f>ROUND((SUM(BG120:BG135)),  2)</f>
        <v>0</v>
      </c>
      <c r="I35" s="99">
        <v>0.21</v>
      </c>
      <c r="J35" s="98">
        <f>0</f>
        <v>0</v>
      </c>
      <c r="L35" s="33"/>
    </row>
    <row r="36" spans="2:12" s="1" customFormat="1" ht="14.45" hidden="1" customHeight="1" x14ac:dyDescent="0.3">
      <c r="B36" s="33"/>
      <c r="E36" s="28" t="s">
        <v>50</v>
      </c>
      <c r="F36" s="98">
        <f>ROUND((SUM(BH120:BH135)),  2)</f>
        <v>0</v>
      </c>
      <c r="I36" s="99">
        <v>0.15</v>
      </c>
      <c r="J36" s="98">
        <f>0</f>
        <v>0</v>
      </c>
      <c r="L36" s="33"/>
    </row>
    <row r="37" spans="2:12" s="1" customFormat="1" ht="14.45" hidden="1" customHeight="1" x14ac:dyDescent="0.3">
      <c r="B37" s="33"/>
      <c r="E37" s="28" t="s">
        <v>51</v>
      </c>
      <c r="F37" s="98">
        <f>ROUND((SUM(BI120:BI135)),  2)</f>
        <v>0</v>
      </c>
      <c r="I37" s="99">
        <v>0</v>
      </c>
      <c r="J37" s="98">
        <f>0</f>
        <v>0</v>
      </c>
      <c r="L37" s="33"/>
    </row>
    <row r="38" spans="2:12" s="1" customFormat="1" ht="6.95" customHeight="1" x14ac:dyDescent="0.3">
      <c r="B38" s="33"/>
      <c r="L38" s="33"/>
    </row>
    <row r="39" spans="2:12" s="1" customFormat="1" ht="25.35" customHeight="1" x14ac:dyDescent="0.3">
      <c r="B39" s="33"/>
      <c r="C39" s="100"/>
      <c r="D39" s="101" t="s">
        <v>52</v>
      </c>
      <c r="E39" s="58"/>
      <c r="F39" s="58"/>
      <c r="G39" s="102" t="s">
        <v>53</v>
      </c>
      <c r="H39" s="103" t="s">
        <v>54</v>
      </c>
      <c r="I39" s="58"/>
      <c r="J39" s="104">
        <f>SUM(J30:J37)</f>
        <v>269644.17000000004</v>
      </c>
      <c r="K39" s="105"/>
      <c r="L39" s="33"/>
    </row>
    <row r="40" spans="2:12" s="1" customFormat="1" ht="14.45" customHeight="1" x14ac:dyDescent="0.3">
      <c r="B40" s="33"/>
      <c r="L40" s="33"/>
    </row>
    <row r="41" spans="2:12" ht="14.45" customHeight="1" x14ac:dyDescent="0.3">
      <c r="B41" s="21"/>
      <c r="L41" s="21"/>
    </row>
    <row r="42" spans="2:12" ht="14.45" customHeight="1" x14ac:dyDescent="0.3">
      <c r="B42" s="21"/>
      <c r="L42" s="21"/>
    </row>
    <row r="43" spans="2:12" ht="14.45" customHeight="1" x14ac:dyDescent="0.3">
      <c r="B43" s="21"/>
      <c r="L43" s="21"/>
    </row>
    <row r="44" spans="2:12" ht="14.45" customHeight="1" x14ac:dyDescent="0.3">
      <c r="B44" s="21"/>
      <c r="L44" s="21"/>
    </row>
    <row r="45" spans="2:12" ht="14.45" customHeight="1" x14ac:dyDescent="0.3">
      <c r="B45" s="21"/>
      <c r="L45" s="21"/>
    </row>
    <row r="46" spans="2:12" ht="14.45" customHeight="1" x14ac:dyDescent="0.3">
      <c r="B46" s="21"/>
      <c r="L46" s="21"/>
    </row>
    <row r="47" spans="2:12" ht="14.45" customHeight="1" x14ac:dyDescent="0.3">
      <c r="B47" s="21"/>
      <c r="L47" s="21"/>
    </row>
    <row r="48" spans="2:12" ht="14.45" customHeight="1" x14ac:dyDescent="0.3">
      <c r="B48" s="21"/>
      <c r="L48" s="21"/>
    </row>
    <row r="49" spans="2:12" ht="14.45" customHeight="1" x14ac:dyDescent="0.3">
      <c r="B49" s="21"/>
      <c r="L49" s="21"/>
    </row>
    <row r="50" spans="2:12" s="1" customFormat="1" ht="14.45" customHeight="1" x14ac:dyDescent="0.3">
      <c r="B50" s="33"/>
      <c r="D50" s="42" t="s">
        <v>55</v>
      </c>
      <c r="E50" s="43"/>
      <c r="F50" s="43"/>
      <c r="G50" s="42" t="s">
        <v>56</v>
      </c>
      <c r="H50" s="43"/>
      <c r="I50" s="43"/>
      <c r="J50" s="43"/>
      <c r="K50" s="43"/>
      <c r="L50" s="33"/>
    </row>
    <row r="51" spans="2:12" x14ac:dyDescent="0.3">
      <c r="B51" s="21"/>
      <c r="L51" s="21"/>
    </row>
    <row r="52" spans="2:12" x14ac:dyDescent="0.3">
      <c r="B52" s="21"/>
      <c r="L52" s="21"/>
    </row>
    <row r="53" spans="2:12" x14ac:dyDescent="0.3">
      <c r="B53" s="21"/>
      <c r="L53" s="21"/>
    </row>
    <row r="54" spans="2:12" x14ac:dyDescent="0.3">
      <c r="B54" s="21"/>
      <c r="L54" s="21"/>
    </row>
    <row r="55" spans="2:12" x14ac:dyDescent="0.3">
      <c r="B55" s="21"/>
      <c r="L55" s="21"/>
    </row>
    <row r="56" spans="2:12" x14ac:dyDescent="0.3">
      <c r="B56" s="21"/>
      <c r="L56" s="21"/>
    </row>
    <row r="57" spans="2:12" x14ac:dyDescent="0.3">
      <c r="B57" s="21"/>
      <c r="L57" s="21"/>
    </row>
    <row r="58" spans="2:12" x14ac:dyDescent="0.3">
      <c r="B58" s="21"/>
      <c r="L58" s="21"/>
    </row>
    <row r="59" spans="2:12" x14ac:dyDescent="0.3">
      <c r="B59" s="21"/>
      <c r="L59" s="21"/>
    </row>
    <row r="60" spans="2:12" x14ac:dyDescent="0.3">
      <c r="B60" s="21"/>
      <c r="L60" s="21"/>
    </row>
    <row r="61" spans="2:12" s="1" customFormat="1" x14ac:dyDescent="0.3">
      <c r="B61" s="33"/>
      <c r="D61" s="44" t="s">
        <v>57</v>
      </c>
      <c r="E61" s="35"/>
      <c r="F61" s="106" t="s">
        <v>58</v>
      </c>
      <c r="G61" s="44" t="s">
        <v>57</v>
      </c>
      <c r="H61" s="35"/>
      <c r="I61" s="35"/>
      <c r="J61" s="107" t="s">
        <v>58</v>
      </c>
      <c r="K61" s="35"/>
      <c r="L61" s="33"/>
    </row>
    <row r="62" spans="2:12" x14ac:dyDescent="0.3">
      <c r="B62" s="21"/>
      <c r="L62" s="21"/>
    </row>
    <row r="63" spans="2:12" x14ac:dyDescent="0.3">
      <c r="B63" s="21"/>
      <c r="L63" s="21"/>
    </row>
    <row r="64" spans="2:12" x14ac:dyDescent="0.3">
      <c r="B64" s="21"/>
      <c r="L64" s="21"/>
    </row>
    <row r="65" spans="2:12" s="1" customFormat="1" x14ac:dyDescent="0.3">
      <c r="B65" s="33"/>
      <c r="D65" s="42" t="s">
        <v>59</v>
      </c>
      <c r="E65" s="43"/>
      <c r="F65" s="43"/>
      <c r="G65" s="42" t="s">
        <v>60</v>
      </c>
      <c r="H65" s="43"/>
      <c r="I65" s="43"/>
      <c r="J65" s="43"/>
      <c r="K65" s="43"/>
      <c r="L65" s="33"/>
    </row>
    <row r="66" spans="2:12" x14ac:dyDescent="0.3">
      <c r="B66" s="21"/>
      <c r="L66" s="21"/>
    </row>
    <row r="67" spans="2:12" x14ac:dyDescent="0.3">
      <c r="B67" s="21"/>
      <c r="L67" s="21"/>
    </row>
    <row r="68" spans="2:12" x14ac:dyDescent="0.3">
      <c r="B68" s="21"/>
      <c r="L68" s="21"/>
    </row>
    <row r="69" spans="2:12" x14ac:dyDescent="0.3">
      <c r="B69" s="21"/>
      <c r="L69" s="21"/>
    </row>
    <row r="70" spans="2:12" x14ac:dyDescent="0.3">
      <c r="B70" s="21"/>
      <c r="L70" s="21"/>
    </row>
    <row r="71" spans="2:12" x14ac:dyDescent="0.3">
      <c r="B71" s="21"/>
      <c r="L71" s="21"/>
    </row>
    <row r="72" spans="2:12" x14ac:dyDescent="0.3">
      <c r="B72" s="21"/>
      <c r="L72" s="21"/>
    </row>
    <row r="73" spans="2:12" x14ac:dyDescent="0.3">
      <c r="B73" s="21"/>
      <c r="L73" s="21"/>
    </row>
    <row r="74" spans="2:12" x14ac:dyDescent="0.3">
      <c r="B74" s="21"/>
      <c r="L74" s="21"/>
    </row>
    <row r="75" spans="2:12" x14ac:dyDescent="0.3">
      <c r="B75" s="21"/>
      <c r="L75" s="21"/>
    </row>
    <row r="76" spans="2:12" s="1" customFormat="1" x14ac:dyDescent="0.3">
      <c r="B76" s="33"/>
      <c r="D76" s="44" t="s">
        <v>57</v>
      </c>
      <c r="E76" s="35"/>
      <c r="F76" s="106" t="s">
        <v>58</v>
      </c>
      <c r="G76" s="44" t="s">
        <v>57</v>
      </c>
      <c r="H76" s="35"/>
      <c r="I76" s="35"/>
      <c r="J76" s="107" t="s">
        <v>58</v>
      </c>
      <c r="K76" s="35"/>
      <c r="L76" s="33"/>
    </row>
    <row r="77" spans="2:12" s="1" customFormat="1" ht="14.45" customHeight="1" x14ac:dyDescent="0.3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 x14ac:dyDescent="0.3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 x14ac:dyDescent="0.3">
      <c r="B82" s="33"/>
      <c r="C82" s="22" t="s">
        <v>155</v>
      </c>
      <c r="L82" s="33"/>
    </row>
    <row r="83" spans="2:47" s="1" customFormat="1" ht="6.95" customHeight="1" x14ac:dyDescent="0.3">
      <c r="B83" s="33"/>
      <c r="L83" s="33"/>
    </row>
    <row r="84" spans="2:47" s="1" customFormat="1" ht="12" customHeight="1" x14ac:dyDescent="0.3">
      <c r="B84" s="33"/>
      <c r="C84" s="28" t="s">
        <v>15</v>
      </c>
      <c r="L84" s="33"/>
    </row>
    <row r="85" spans="2:47" s="1" customFormat="1" ht="16.5" customHeight="1" x14ac:dyDescent="0.3">
      <c r="B85" s="33"/>
      <c r="E85" s="324" t="str">
        <f>E7</f>
        <v>Obnova ulice Tyršova, Dobrovice - I. etapa</v>
      </c>
      <c r="F85" s="325"/>
      <c r="G85" s="325"/>
      <c r="H85" s="325"/>
      <c r="L85" s="33"/>
    </row>
    <row r="86" spans="2:47" s="1" customFormat="1" ht="12" customHeight="1" x14ac:dyDescent="0.3">
      <c r="B86" s="33"/>
      <c r="C86" s="28" t="s">
        <v>152</v>
      </c>
      <c r="L86" s="33"/>
    </row>
    <row r="87" spans="2:47" s="1" customFormat="1" ht="16.5" customHeight="1" x14ac:dyDescent="0.3">
      <c r="B87" s="33"/>
      <c r="E87" s="308" t="str">
        <f>E9</f>
        <v>SO 404.I - Chráničky pro optickou síť I. etapa</v>
      </c>
      <c r="F87" s="326"/>
      <c r="G87" s="326"/>
      <c r="H87" s="326"/>
      <c r="L87" s="33"/>
    </row>
    <row r="88" spans="2:47" s="1" customFormat="1" ht="6.95" customHeight="1" x14ac:dyDescent="0.3">
      <c r="B88" s="33"/>
      <c r="L88" s="33"/>
    </row>
    <row r="89" spans="2:47" s="1" customFormat="1" ht="12" customHeight="1" x14ac:dyDescent="0.3">
      <c r="B89" s="33"/>
      <c r="C89" s="28" t="s">
        <v>21</v>
      </c>
      <c r="F89" s="26" t="str">
        <f>F12</f>
        <v>Dobrovice</v>
      </c>
      <c r="I89" s="28" t="s">
        <v>23</v>
      </c>
      <c r="J89" s="53">
        <f>IF(J12="","",J12)</f>
        <v>45678</v>
      </c>
      <c r="L89" s="33"/>
    </row>
    <row r="90" spans="2:47" s="1" customFormat="1" ht="6.95" customHeight="1" x14ac:dyDescent="0.3">
      <c r="B90" s="33"/>
      <c r="L90" s="33"/>
    </row>
    <row r="91" spans="2:47" s="1" customFormat="1" ht="25.7" customHeight="1" x14ac:dyDescent="0.3">
      <c r="B91" s="33"/>
      <c r="C91" s="28" t="s">
        <v>28</v>
      </c>
      <c r="F91" s="26" t="str">
        <f>E15</f>
        <v>Město Dobrovice, Palckého nám. 28, 294 41</v>
      </c>
      <c r="I91" s="28" t="s">
        <v>34</v>
      </c>
      <c r="J91" s="96" t="str">
        <f>E21</f>
        <v>Ing. arch. Martin Jirovský Ph.D., MBA</v>
      </c>
      <c r="L91" s="33"/>
    </row>
    <row r="92" spans="2:47" s="1" customFormat="1" ht="40.15" customHeight="1" x14ac:dyDescent="0.3">
      <c r="B92" s="33"/>
      <c r="C92" s="28" t="s">
        <v>33</v>
      </c>
      <c r="F92" s="26">
        <f>IF(E18="","",E18)</f>
        <v>0</v>
      </c>
      <c r="I92" s="28" t="s">
        <v>38</v>
      </c>
      <c r="J92" s="96" t="str">
        <f>E24</f>
        <v>ROAD M.A.A.T. s.r.o., Petra Stejskalová</v>
      </c>
      <c r="L92" s="33"/>
    </row>
    <row r="93" spans="2:47" s="1" customFormat="1" ht="10.35" customHeight="1" x14ac:dyDescent="0.3">
      <c r="B93" s="33"/>
      <c r="L93" s="33"/>
    </row>
    <row r="94" spans="2:47" s="1" customFormat="1" ht="29.25" customHeight="1" x14ac:dyDescent="0.3">
      <c r="B94" s="33"/>
      <c r="C94" s="108" t="s">
        <v>156</v>
      </c>
      <c r="D94" s="100"/>
      <c r="E94" s="100"/>
      <c r="F94" s="100"/>
      <c r="G94" s="100"/>
      <c r="H94" s="100"/>
      <c r="I94" s="100"/>
      <c r="J94" s="109" t="s">
        <v>157</v>
      </c>
      <c r="K94" s="100"/>
      <c r="L94" s="33"/>
    </row>
    <row r="95" spans="2:47" s="1" customFormat="1" ht="10.35" customHeight="1" x14ac:dyDescent="0.3">
      <c r="B95" s="33"/>
      <c r="L95" s="33"/>
    </row>
    <row r="96" spans="2:47" s="1" customFormat="1" ht="22.9" customHeight="1" x14ac:dyDescent="0.3">
      <c r="B96" s="33"/>
      <c r="C96" s="110" t="s">
        <v>158</v>
      </c>
      <c r="J96" s="67">
        <f>J120</f>
        <v>222846.41999999998</v>
      </c>
      <c r="L96" s="33"/>
      <c r="AU96" s="18" t="s">
        <v>159</v>
      </c>
    </row>
    <row r="97" spans="2:12" s="8" customFormat="1" ht="24.95" customHeight="1" x14ac:dyDescent="0.3">
      <c r="B97" s="111"/>
      <c r="D97" s="112" t="s">
        <v>166</v>
      </c>
      <c r="E97" s="113"/>
      <c r="F97" s="113"/>
      <c r="G97" s="113"/>
      <c r="H97" s="113"/>
      <c r="I97" s="113"/>
      <c r="J97" s="114">
        <f>J121</f>
        <v>139212.9</v>
      </c>
      <c r="L97" s="111"/>
    </row>
    <row r="98" spans="2:12" s="9" customFormat="1" ht="19.899999999999999" customHeight="1" x14ac:dyDescent="0.3">
      <c r="B98" s="115"/>
      <c r="D98" s="116" t="s">
        <v>1360</v>
      </c>
      <c r="E98" s="117"/>
      <c r="F98" s="117"/>
      <c r="G98" s="117"/>
      <c r="H98" s="117"/>
      <c r="I98" s="117"/>
      <c r="J98" s="118">
        <f>J122</f>
        <v>139212.9</v>
      </c>
      <c r="L98" s="115"/>
    </row>
    <row r="99" spans="2:12" s="8" customFormat="1" ht="24.95" customHeight="1" x14ac:dyDescent="0.3">
      <c r="B99" s="111"/>
      <c r="D99" s="112" t="s">
        <v>1174</v>
      </c>
      <c r="E99" s="113"/>
      <c r="F99" s="113"/>
      <c r="G99" s="113"/>
      <c r="H99" s="113"/>
      <c r="I99" s="113"/>
      <c r="J99" s="114">
        <f>J131</f>
        <v>83633.52</v>
      </c>
      <c r="L99" s="111"/>
    </row>
    <row r="100" spans="2:12" s="9" customFormat="1" ht="19.899999999999999" customHeight="1" x14ac:dyDescent="0.3">
      <c r="B100" s="115"/>
      <c r="D100" s="116" t="s">
        <v>1176</v>
      </c>
      <c r="E100" s="117"/>
      <c r="F100" s="117"/>
      <c r="G100" s="117"/>
      <c r="H100" s="117"/>
      <c r="I100" s="117"/>
      <c r="J100" s="118">
        <f>J132</f>
        <v>83633.52</v>
      </c>
      <c r="L100" s="115"/>
    </row>
    <row r="101" spans="2:12" s="1" customFormat="1" ht="21.75" customHeight="1" x14ac:dyDescent="0.3">
      <c r="B101" s="33"/>
      <c r="L101" s="33"/>
    </row>
    <row r="102" spans="2:12" s="1" customFormat="1" ht="6.95" customHeight="1" x14ac:dyDescent="0.3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3"/>
    </row>
    <row r="106" spans="2:12" s="1" customFormat="1" ht="6.95" customHeight="1" x14ac:dyDescent="0.3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3"/>
    </row>
    <row r="107" spans="2:12" s="1" customFormat="1" ht="24.95" customHeight="1" x14ac:dyDescent="0.3">
      <c r="B107" s="33"/>
      <c r="C107" s="22" t="s">
        <v>168</v>
      </c>
      <c r="L107" s="33"/>
    </row>
    <row r="108" spans="2:12" s="1" customFormat="1" ht="6.95" customHeight="1" x14ac:dyDescent="0.3">
      <c r="B108" s="33"/>
      <c r="L108" s="33"/>
    </row>
    <row r="109" spans="2:12" s="1" customFormat="1" ht="12" customHeight="1" x14ac:dyDescent="0.3">
      <c r="B109" s="33"/>
      <c r="C109" s="28" t="s">
        <v>15</v>
      </c>
      <c r="L109" s="33"/>
    </row>
    <row r="110" spans="2:12" s="1" customFormat="1" ht="16.5" customHeight="1" x14ac:dyDescent="0.3">
      <c r="B110" s="33"/>
      <c r="E110" s="324" t="str">
        <f>E7</f>
        <v>Obnova ulice Tyršova, Dobrovice - I. etapa</v>
      </c>
      <c r="F110" s="325"/>
      <c r="G110" s="325"/>
      <c r="H110" s="325"/>
      <c r="L110" s="33"/>
    </row>
    <row r="111" spans="2:12" s="1" customFormat="1" ht="12" customHeight="1" x14ac:dyDescent="0.3">
      <c r="B111" s="33"/>
      <c r="C111" s="28" t="s">
        <v>152</v>
      </c>
      <c r="L111" s="33"/>
    </row>
    <row r="112" spans="2:12" s="1" customFormat="1" ht="16.5" customHeight="1" x14ac:dyDescent="0.3">
      <c r="B112" s="33"/>
      <c r="E112" s="308" t="str">
        <f>E9</f>
        <v>SO 404.I - Chráničky pro optickou síť I. etapa</v>
      </c>
      <c r="F112" s="326"/>
      <c r="G112" s="326"/>
      <c r="H112" s="326"/>
      <c r="L112" s="33"/>
    </row>
    <row r="113" spans="2:65" s="1" customFormat="1" ht="6.95" customHeight="1" x14ac:dyDescent="0.3">
      <c r="B113" s="33"/>
      <c r="L113" s="33"/>
    </row>
    <row r="114" spans="2:65" s="1" customFormat="1" ht="12" customHeight="1" x14ac:dyDescent="0.3">
      <c r="B114" s="33"/>
      <c r="C114" s="28" t="s">
        <v>21</v>
      </c>
      <c r="F114" s="26" t="str">
        <f>F12</f>
        <v>Dobrovice</v>
      </c>
      <c r="I114" s="28" t="s">
        <v>23</v>
      </c>
      <c r="J114" s="53">
        <f>IF(J12="","",J12)</f>
        <v>45678</v>
      </c>
      <c r="L114" s="33"/>
    </row>
    <row r="115" spans="2:65" s="1" customFormat="1" ht="6.95" customHeight="1" x14ac:dyDescent="0.3">
      <c r="B115" s="33"/>
      <c r="L115" s="33"/>
    </row>
    <row r="116" spans="2:65" s="1" customFormat="1" ht="25.7" customHeight="1" x14ac:dyDescent="0.3">
      <c r="B116" s="33"/>
      <c r="C116" s="28" t="s">
        <v>28</v>
      </c>
      <c r="F116" s="26" t="str">
        <f>E15</f>
        <v>Město Dobrovice, Palckého nám. 28, 294 41</v>
      </c>
      <c r="I116" s="28" t="s">
        <v>34</v>
      </c>
      <c r="J116" s="96" t="str">
        <f>E21</f>
        <v>Ing. arch. Martin Jirovský Ph.D., MBA</v>
      </c>
      <c r="L116" s="33"/>
    </row>
    <row r="117" spans="2:65" s="1" customFormat="1" ht="40.15" customHeight="1" x14ac:dyDescent="0.3">
      <c r="B117" s="33"/>
      <c r="C117" s="28" t="s">
        <v>33</v>
      </c>
      <c r="F117" s="26">
        <f>IF(E18="","",E18)</f>
        <v>0</v>
      </c>
      <c r="I117" s="28" t="s">
        <v>38</v>
      </c>
      <c r="J117" s="96" t="str">
        <f>E24</f>
        <v>ROAD M.A.A.T. s.r.o., Petra Stejskalová</v>
      </c>
      <c r="L117" s="33"/>
    </row>
    <row r="118" spans="2:65" s="1" customFormat="1" ht="10.35" customHeight="1" x14ac:dyDescent="0.3">
      <c r="B118" s="33"/>
      <c r="L118" s="33"/>
    </row>
    <row r="119" spans="2:65" s="10" customFormat="1" ht="29.25" customHeight="1" x14ac:dyDescent="0.3">
      <c r="B119" s="119"/>
      <c r="C119" s="120" t="s">
        <v>169</v>
      </c>
      <c r="D119" s="121" t="s">
        <v>66</v>
      </c>
      <c r="E119" s="121" t="s">
        <v>63</v>
      </c>
      <c r="F119" s="121" t="s">
        <v>170</v>
      </c>
      <c r="G119" s="121" t="s">
        <v>171</v>
      </c>
      <c r="H119" s="121" t="s">
        <v>172</v>
      </c>
      <c r="I119" s="121" t="s">
        <v>173</v>
      </c>
      <c r="J119" s="121" t="s">
        <v>157</v>
      </c>
      <c r="K119" s="122" t="s">
        <v>174</v>
      </c>
      <c r="L119" s="119"/>
      <c r="M119" s="60" t="s">
        <v>1</v>
      </c>
      <c r="N119" s="61" t="s">
        <v>46</v>
      </c>
      <c r="O119" s="61" t="s">
        <v>175</v>
      </c>
      <c r="P119" s="61" t="s">
        <v>176</v>
      </c>
      <c r="Q119" s="61" t="s">
        <v>177</v>
      </c>
      <c r="R119" s="61" t="s">
        <v>178</v>
      </c>
      <c r="S119" s="61" t="s">
        <v>179</v>
      </c>
      <c r="T119" s="62" t="s">
        <v>180</v>
      </c>
    </row>
    <row r="120" spans="2:65" s="1" customFormat="1" ht="22.9" customHeight="1" x14ac:dyDescent="0.25">
      <c r="B120" s="33"/>
      <c r="C120" s="65" t="s">
        <v>181</v>
      </c>
      <c r="J120" s="123">
        <f>BK120</f>
        <v>222846.41999999998</v>
      </c>
      <c r="L120" s="33"/>
      <c r="M120" s="63"/>
      <c r="N120" s="54"/>
      <c r="O120" s="54"/>
      <c r="P120" s="124">
        <f>P121+P131</f>
        <v>177.42585000000003</v>
      </c>
      <c r="Q120" s="54"/>
      <c r="R120" s="124">
        <f>R121+R131</f>
        <v>0.25931999999999999</v>
      </c>
      <c r="S120" s="54"/>
      <c r="T120" s="125">
        <f>T121+T131</f>
        <v>0</v>
      </c>
      <c r="AT120" s="18" t="s">
        <v>80</v>
      </c>
      <c r="AU120" s="18" t="s">
        <v>159</v>
      </c>
      <c r="BK120" s="126">
        <f>BK121+BK131</f>
        <v>222846.41999999998</v>
      </c>
    </row>
    <row r="121" spans="2:65" s="11" customFormat="1" ht="25.9" customHeight="1" x14ac:dyDescent="0.2">
      <c r="B121" s="127"/>
      <c r="D121" s="128" t="s">
        <v>80</v>
      </c>
      <c r="E121" s="129" t="s">
        <v>381</v>
      </c>
      <c r="F121" s="129" t="s">
        <v>382</v>
      </c>
      <c r="J121" s="130">
        <f>BK121</f>
        <v>139212.9</v>
      </c>
      <c r="L121" s="127"/>
      <c r="M121" s="131"/>
      <c r="P121" s="132">
        <f>P122</f>
        <v>104.52585000000001</v>
      </c>
      <c r="R121" s="132">
        <f>R122</f>
        <v>0.22931999999999997</v>
      </c>
      <c r="T121" s="133">
        <f>T122</f>
        <v>0</v>
      </c>
      <c r="AR121" s="128" t="s">
        <v>20</v>
      </c>
      <c r="AT121" s="134" t="s">
        <v>80</v>
      </c>
      <c r="AU121" s="134" t="s">
        <v>81</v>
      </c>
      <c r="AY121" s="128" t="s">
        <v>184</v>
      </c>
      <c r="BK121" s="135">
        <f>BK122</f>
        <v>139212.9</v>
      </c>
    </row>
    <row r="122" spans="2:65" s="11" customFormat="1" ht="22.9" customHeight="1" x14ac:dyDescent="0.2">
      <c r="B122" s="127"/>
      <c r="D122" s="128" t="s">
        <v>80</v>
      </c>
      <c r="E122" s="136" t="s">
        <v>1361</v>
      </c>
      <c r="F122" s="136" t="s">
        <v>1362</v>
      </c>
      <c r="J122" s="137">
        <f>BK122</f>
        <v>139212.9</v>
      </c>
      <c r="L122" s="127"/>
      <c r="M122" s="131"/>
      <c r="P122" s="132">
        <f>SUM(P123:P130)</f>
        <v>104.52585000000001</v>
      </c>
      <c r="R122" s="132">
        <f>SUM(R123:R130)</f>
        <v>0.22931999999999997</v>
      </c>
      <c r="T122" s="133">
        <f>SUM(T123:T130)</f>
        <v>0</v>
      </c>
      <c r="AR122" s="128" t="s">
        <v>20</v>
      </c>
      <c r="AT122" s="134" t="s">
        <v>80</v>
      </c>
      <c r="AU122" s="134" t="s">
        <v>88</v>
      </c>
      <c r="AY122" s="128" t="s">
        <v>184</v>
      </c>
      <c r="BK122" s="135">
        <f>SUM(BK123:BK130)</f>
        <v>139212.9</v>
      </c>
    </row>
    <row r="123" spans="2:65" s="1" customFormat="1" ht="16.5" customHeight="1" x14ac:dyDescent="0.3">
      <c r="B123" s="33"/>
      <c r="C123" s="138" t="s">
        <v>88</v>
      </c>
      <c r="D123" s="138" t="s">
        <v>186</v>
      </c>
      <c r="E123" s="139" t="s">
        <v>1363</v>
      </c>
      <c r="F123" s="140" t="s">
        <v>1364</v>
      </c>
      <c r="G123" s="141" t="s">
        <v>210</v>
      </c>
      <c r="H123" s="142">
        <v>780</v>
      </c>
      <c r="I123" s="143">
        <v>152.71</v>
      </c>
      <c r="J123" s="144">
        <f>ROUND(I123*H123,2)</f>
        <v>119113.8</v>
      </c>
      <c r="K123" s="140" t="s">
        <v>190</v>
      </c>
      <c r="L123" s="33"/>
      <c r="M123" s="145" t="s">
        <v>1</v>
      </c>
      <c r="N123" s="146" t="s">
        <v>47</v>
      </c>
      <c r="O123" s="147">
        <v>0.13</v>
      </c>
      <c r="P123" s="147">
        <f>O123*H123</f>
        <v>101.4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49" t="s">
        <v>287</v>
      </c>
      <c r="AT123" s="149" t="s">
        <v>186</v>
      </c>
      <c r="AU123" s="149" t="s">
        <v>20</v>
      </c>
      <c r="AY123" s="18" t="s">
        <v>184</v>
      </c>
      <c r="BE123" s="150">
        <f>IF(N123="základní",J123,0)</f>
        <v>119113.8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8" t="s">
        <v>88</v>
      </c>
      <c r="BK123" s="150">
        <f>ROUND(I123*H123,2)</f>
        <v>119113.8</v>
      </c>
      <c r="BL123" s="18" t="s">
        <v>287</v>
      </c>
      <c r="BM123" s="149" t="s">
        <v>1365</v>
      </c>
    </row>
    <row r="124" spans="2:65" s="1" customFormat="1" x14ac:dyDescent="0.3">
      <c r="B124" s="33"/>
      <c r="D124" s="151" t="s">
        <v>193</v>
      </c>
      <c r="F124" s="152" t="s">
        <v>1366</v>
      </c>
      <c r="I124" s="153"/>
      <c r="L124" s="33"/>
      <c r="M124" s="154"/>
      <c r="T124" s="57"/>
      <c r="AT124" s="18" t="s">
        <v>193</v>
      </c>
      <c r="AU124" s="18" t="s">
        <v>20</v>
      </c>
    </row>
    <row r="125" spans="2:65" s="1" customFormat="1" ht="16.5" customHeight="1" x14ac:dyDescent="0.3">
      <c r="B125" s="33"/>
      <c r="C125" s="172" t="s">
        <v>20</v>
      </c>
      <c r="D125" s="172" t="s">
        <v>271</v>
      </c>
      <c r="E125" s="173" t="s">
        <v>1367</v>
      </c>
      <c r="F125" s="174" t="s">
        <v>1368</v>
      </c>
      <c r="G125" s="175" t="s">
        <v>210</v>
      </c>
      <c r="H125" s="176">
        <v>819</v>
      </c>
      <c r="I125" s="177">
        <v>23.26</v>
      </c>
      <c r="J125" s="178">
        <f>ROUND(I125*H125,2)</f>
        <v>19049.939999999999</v>
      </c>
      <c r="K125" s="174" t="s">
        <v>190</v>
      </c>
      <c r="L125" s="179"/>
      <c r="M125" s="180" t="s">
        <v>1</v>
      </c>
      <c r="N125" s="181" t="s">
        <v>47</v>
      </c>
      <c r="O125" s="147">
        <v>0</v>
      </c>
      <c r="P125" s="147">
        <f>O125*H125</f>
        <v>0</v>
      </c>
      <c r="Q125" s="147">
        <v>2.7999999999999998E-4</v>
      </c>
      <c r="R125" s="147">
        <f>Q125*H125</f>
        <v>0.22931999999999997</v>
      </c>
      <c r="S125" s="147">
        <v>0</v>
      </c>
      <c r="T125" s="148">
        <f>S125*H125</f>
        <v>0</v>
      </c>
      <c r="AR125" s="149" t="s">
        <v>392</v>
      </c>
      <c r="AT125" s="149" t="s">
        <v>271</v>
      </c>
      <c r="AU125" s="149" t="s">
        <v>20</v>
      </c>
      <c r="AY125" s="18" t="s">
        <v>184</v>
      </c>
      <c r="BE125" s="150">
        <f>IF(N125="základní",J125,0)</f>
        <v>19049.939999999999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8" t="s">
        <v>88</v>
      </c>
      <c r="BK125" s="150">
        <f>ROUND(I125*H125,2)</f>
        <v>19049.939999999999</v>
      </c>
      <c r="BL125" s="18" t="s">
        <v>287</v>
      </c>
      <c r="BM125" s="149" t="s">
        <v>1369</v>
      </c>
    </row>
    <row r="126" spans="2:65" s="12" customFormat="1" ht="11.25" x14ac:dyDescent="0.3">
      <c r="B126" s="155"/>
      <c r="D126" s="156" t="s">
        <v>195</v>
      </c>
      <c r="E126" s="157" t="s">
        <v>1</v>
      </c>
      <c r="F126" s="158" t="s">
        <v>1370</v>
      </c>
      <c r="H126" s="159">
        <v>819</v>
      </c>
      <c r="I126" s="160"/>
      <c r="L126" s="155"/>
      <c r="M126" s="161"/>
      <c r="T126" s="162"/>
      <c r="AT126" s="157" t="s">
        <v>195</v>
      </c>
      <c r="AU126" s="157" t="s">
        <v>20</v>
      </c>
      <c r="AV126" s="12" t="s">
        <v>20</v>
      </c>
      <c r="AW126" s="12" t="s">
        <v>37</v>
      </c>
      <c r="AX126" s="12" t="s">
        <v>88</v>
      </c>
      <c r="AY126" s="157" t="s">
        <v>184</v>
      </c>
    </row>
    <row r="127" spans="2:65" s="1" customFormat="1" ht="16.5" customHeight="1" x14ac:dyDescent="0.3">
      <c r="B127" s="33"/>
      <c r="C127" s="138" t="s">
        <v>202</v>
      </c>
      <c r="D127" s="138" t="s">
        <v>186</v>
      </c>
      <c r="E127" s="139" t="s">
        <v>1371</v>
      </c>
      <c r="F127" s="140" t="s">
        <v>1372</v>
      </c>
      <c r="G127" s="141" t="s">
        <v>248</v>
      </c>
      <c r="H127" s="142">
        <v>0.22900000000000001</v>
      </c>
      <c r="I127" s="143">
        <v>3054.35</v>
      </c>
      <c r="J127" s="144">
        <f>ROUND(I127*H127,2)</f>
        <v>699.45</v>
      </c>
      <c r="K127" s="140" t="s">
        <v>190</v>
      </c>
      <c r="L127" s="33"/>
      <c r="M127" s="145" t="s">
        <v>1</v>
      </c>
      <c r="N127" s="146" t="s">
        <v>47</v>
      </c>
      <c r="O127" s="147">
        <v>8.89</v>
      </c>
      <c r="P127" s="147">
        <f>O127*H127</f>
        <v>2.0358100000000001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287</v>
      </c>
      <c r="AT127" s="149" t="s">
        <v>186</v>
      </c>
      <c r="AU127" s="149" t="s">
        <v>20</v>
      </c>
      <c r="AY127" s="18" t="s">
        <v>184</v>
      </c>
      <c r="BE127" s="150">
        <f>IF(N127="základní",J127,0)</f>
        <v>699.45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8" t="s">
        <v>88</v>
      </c>
      <c r="BK127" s="150">
        <f>ROUND(I127*H127,2)</f>
        <v>699.45</v>
      </c>
      <c r="BL127" s="18" t="s">
        <v>287</v>
      </c>
      <c r="BM127" s="149" t="s">
        <v>1373</v>
      </c>
    </row>
    <row r="128" spans="2:65" s="1" customFormat="1" x14ac:dyDescent="0.3">
      <c r="B128" s="33"/>
      <c r="D128" s="151" t="s">
        <v>193</v>
      </c>
      <c r="F128" s="152" t="s">
        <v>1374</v>
      </c>
      <c r="I128" s="153"/>
      <c r="L128" s="33"/>
      <c r="M128" s="154"/>
      <c r="T128" s="57"/>
      <c r="AT128" s="18" t="s">
        <v>193</v>
      </c>
      <c r="AU128" s="18" t="s">
        <v>20</v>
      </c>
    </row>
    <row r="129" spans="2:65" s="1" customFormat="1" ht="16.5" customHeight="1" x14ac:dyDescent="0.3">
      <c r="B129" s="33"/>
      <c r="C129" s="138" t="s">
        <v>191</v>
      </c>
      <c r="D129" s="138" t="s">
        <v>186</v>
      </c>
      <c r="E129" s="139" t="s">
        <v>1375</v>
      </c>
      <c r="F129" s="140" t="s">
        <v>1376</v>
      </c>
      <c r="G129" s="141" t="s">
        <v>248</v>
      </c>
      <c r="H129" s="142">
        <v>0.22900000000000001</v>
      </c>
      <c r="I129" s="143">
        <v>1527.13</v>
      </c>
      <c r="J129" s="144">
        <f>ROUND(I129*H129,2)</f>
        <v>349.71</v>
      </c>
      <c r="K129" s="140" t="s">
        <v>190</v>
      </c>
      <c r="L129" s="33"/>
      <c r="M129" s="145" t="s">
        <v>1</v>
      </c>
      <c r="N129" s="146" t="s">
        <v>47</v>
      </c>
      <c r="O129" s="147">
        <v>4.76</v>
      </c>
      <c r="P129" s="147">
        <f>O129*H129</f>
        <v>1.0900399999999999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49" t="s">
        <v>287</v>
      </c>
      <c r="AT129" s="149" t="s">
        <v>186</v>
      </c>
      <c r="AU129" s="149" t="s">
        <v>20</v>
      </c>
      <c r="AY129" s="18" t="s">
        <v>184</v>
      </c>
      <c r="BE129" s="150">
        <f>IF(N129="základní",J129,0)</f>
        <v>349.71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8" t="s">
        <v>88</v>
      </c>
      <c r="BK129" s="150">
        <f>ROUND(I129*H129,2)</f>
        <v>349.71</v>
      </c>
      <c r="BL129" s="18" t="s">
        <v>287</v>
      </c>
      <c r="BM129" s="149" t="s">
        <v>1377</v>
      </c>
    </row>
    <row r="130" spans="2:65" s="1" customFormat="1" x14ac:dyDescent="0.3">
      <c r="B130" s="33"/>
      <c r="D130" s="151" t="s">
        <v>193</v>
      </c>
      <c r="F130" s="152" t="s">
        <v>1378</v>
      </c>
      <c r="I130" s="153"/>
      <c r="L130" s="33"/>
      <c r="M130" s="154"/>
      <c r="T130" s="57"/>
      <c r="AT130" s="18" t="s">
        <v>193</v>
      </c>
      <c r="AU130" s="18" t="s">
        <v>20</v>
      </c>
    </row>
    <row r="131" spans="2:65" s="11" customFormat="1" ht="25.9" customHeight="1" x14ac:dyDescent="0.2">
      <c r="B131" s="127"/>
      <c r="D131" s="128" t="s">
        <v>80</v>
      </c>
      <c r="E131" s="129" t="s">
        <v>271</v>
      </c>
      <c r="F131" s="129" t="s">
        <v>1258</v>
      </c>
      <c r="I131" s="171"/>
      <c r="J131" s="130">
        <f>BK131</f>
        <v>83633.52</v>
      </c>
      <c r="L131" s="127"/>
      <c r="M131" s="131"/>
      <c r="P131" s="132">
        <f>P132</f>
        <v>72.900000000000006</v>
      </c>
      <c r="R131" s="132">
        <f>R132</f>
        <v>0.03</v>
      </c>
      <c r="T131" s="133">
        <f>T132</f>
        <v>0</v>
      </c>
      <c r="AR131" s="128" t="s">
        <v>202</v>
      </c>
      <c r="AT131" s="134" t="s">
        <v>80</v>
      </c>
      <c r="AU131" s="134" t="s">
        <v>81</v>
      </c>
      <c r="AY131" s="128" t="s">
        <v>184</v>
      </c>
      <c r="BK131" s="135">
        <f>BK132</f>
        <v>83633.52</v>
      </c>
    </row>
    <row r="132" spans="2:65" s="11" customFormat="1" ht="22.9" customHeight="1" x14ac:dyDescent="0.2">
      <c r="B132" s="127"/>
      <c r="D132" s="128" t="s">
        <v>80</v>
      </c>
      <c r="E132" s="136" t="s">
        <v>1291</v>
      </c>
      <c r="F132" s="136" t="s">
        <v>1292</v>
      </c>
      <c r="I132" s="171"/>
      <c r="J132" s="137">
        <f>BK132</f>
        <v>83633.52</v>
      </c>
      <c r="L132" s="127"/>
      <c r="M132" s="131"/>
      <c r="P132" s="132">
        <f>SUM(P133:P135)</f>
        <v>72.900000000000006</v>
      </c>
      <c r="R132" s="132">
        <f>SUM(R133:R135)</f>
        <v>0.03</v>
      </c>
      <c r="T132" s="133">
        <f>SUM(T133:T135)</f>
        <v>0</v>
      </c>
      <c r="AR132" s="128" t="s">
        <v>202</v>
      </c>
      <c r="AT132" s="134" t="s">
        <v>80</v>
      </c>
      <c r="AU132" s="134" t="s">
        <v>88</v>
      </c>
      <c r="AY132" s="128" t="s">
        <v>184</v>
      </c>
      <c r="BK132" s="135">
        <f>SUM(BK133:BK135)</f>
        <v>83633.52</v>
      </c>
    </row>
    <row r="133" spans="2:65" s="1" customFormat="1" ht="16.5" customHeight="1" x14ac:dyDescent="0.3">
      <c r="B133" s="33"/>
      <c r="C133" s="138" t="s">
        <v>214</v>
      </c>
      <c r="D133" s="138" t="s">
        <v>186</v>
      </c>
      <c r="E133" s="139" t="s">
        <v>1379</v>
      </c>
      <c r="F133" s="140" t="s">
        <v>1380</v>
      </c>
      <c r="G133" s="141" t="s">
        <v>557</v>
      </c>
      <c r="H133" s="142">
        <v>6</v>
      </c>
      <c r="I133" s="143">
        <v>9162.7800000000007</v>
      </c>
      <c r="J133" s="144">
        <f>ROUND(I133*H133,2)</f>
        <v>54976.68</v>
      </c>
      <c r="K133" s="140" t="s">
        <v>190</v>
      </c>
      <c r="L133" s="33"/>
      <c r="M133" s="145" t="s">
        <v>1</v>
      </c>
      <c r="N133" s="146" t="s">
        <v>47</v>
      </c>
      <c r="O133" s="147">
        <v>12.15</v>
      </c>
      <c r="P133" s="147">
        <f>O133*H133</f>
        <v>72.900000000000006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49" t="s">
        <v>1032</v>
      </c>
      <c r="AT133" s="149" t="s">
        <v>186</v>
      </c>
      <c r="AU133" s="149" t="s">
        <v>20</v>
      </c>
      <c r="AY133" s="18" t="s">
        <v>184</v>
      </c>
      <c r="BE133" s="150">
        <f>IF(N133="základní",J133,0)</f>
        <v>54976.68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8" t="s">
        <v>88</v>
      </c>
      <c r="BK133" s="150">
        <f>ROUND(I133*H133,2)</f>
        <v>54976.68</v>
      </c>
      <c r="BL133" s="18" t="s">
        <v>1032</v>
      </c>
      <c r="BM133" s="149" t="s">
        <v>1381</v>
      </c>
    </row>
    <row r="134" spans="2:65" s="1" customFormat="1" x14ac:dyDescent="0.3">
      <c r="B134" s="33"/>
      <c r="D134" s="151" t="s">
        <v>193</v>
      </c>
      <c r="F134" s="152" t="s">
        <v>1382</v>
      </c>
      <c r="I134" s="153"/>
      <c r="L134" s="33"/>
      <c r="M134" s="154"/>
      <c r="T134" s="57"/>
      <c r="AT134" s="18" t="s">
        <v>193</v>
      </c>
      <c r="AU134" s="18" t="s">
        <v>20</v>
      </c>
    </row>
    <row r="135" spans="2:65" s="1" customFormat="1" ht="24.2" customHeight="1" x14ac:dyDescent="0.3">
      <c r="B135" s="33"/>
      <c r="C135" s="172" t="s">
        <v>221</v>
      </c>
      <c r="D135" s="172" t="s">
        <v>271</v>
      </c>
      <c r="E135" s="173" t="s">
        <v>1383</v>
      </c>
      <c r="F135" s="174" t="s">
        <v>1384</v>
      </c>
      <c r="G135" s="175" t="s">
        <v>557</v>
      </c>
      <c r="H135" s="176">
        <v>6</v>
      </c>
      <c r="I135" s="177">
        <v>4776.1400000000003</v>
      </c>
      <c r="J135" s="178">
        <f>ROUND(I135*H135,2)</f>
        <v>28656.84</v>
      </c>
      <c r="K135" s="174" t="s">
        <v>1</v>
      </c>
      <c r="L135" s="179"/>
      <c r="M135" s="205" t="s">
        <v>1</v>
      </c>
      <c r="N135" s="206" t="s">
        <v>47</v>
      </c>
      <c r="O135" s="186">
        <v>0</v>
      </c>
      <c r="P135" s="186">
        <f>O135*H135</f>
        <v>0</v>
      </c>
      <c r="Q135" s="186">
        <v>5.0000000000000001E-3</v>
      </c>
      <c r="R135" s="186">
        <f>Q135*H135</f>
        <v>0.03</v>
      </c>
      <c r="S135" s="186">
        <v>0</v>
      </c>
      <c r="T135" s="187">
        <f>S135*H135</f>
        <v>0</v>
      </c>
      <c r="AR135" s="149" t="s">
        <v>1299</v>
      </c>
      <c r="AT135" s="149" t="s">
        <v>271</v>
      </c>
      <c r="AU135" s="149" t="s">
        <v>20</v>
      </c>
      <c r="AY135" s="18" t="s">
        <v>184</v>
      </c>
      <c r="BE135" s="150">
        <f>IF(N135="základní",J135,0)</f>
        <v>28656.84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8" t="s">
        <v>88</v>
      </c>
      <c r="BK135" s="150">
        <f>ROUND(I135*H135,2)</f>
        <v>28656.84</v>
      </c>
      <c r="BL135" s="18" t="s">
        <v>1032</v>
      </c>
      <c r="BM135" s="149" t="s">
        <v>1385</v>
      </c>
    </row>
    <row r="136" spans="2:65" s="1" customFormat="1" ht="6.95" customHeight="1" x14ac:dyDescent="0.3">
      <c r="B136" s="45"/>
      <c r="C136" s="46"/>
      <c r="D136" s="46"/>
      <c r="E136" s="46"/>
      <c r="F136" s="46"/>
      <c r="G136" s="46"/>
      <c r="H136" s="46"/>
      <c r="I136" s="188"/>
      <c r="J136" s="46"/>
      <c r="K136" s="46"/>
      <c r="L136" s="33"/>
    </row>
  </sheetData>
  <sheetProtection sheet="1" objects="1" scenarios="1"/>
  <autoFilter ref="C119:K135" xr:uid="{E2B96D06-8C4D-4A06-9336-E606CD97EB5B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hyperlinks>
    <hyperlink ref="F124" r:id="rId1" xr:uid="{231ED7A3-A2EC-4506-B17D-69844FF675ED}"/>
    <hyperlink ref="F128" r:id="rId2" xr:uid="{5A3ADDE1-2AB6-4091-ABD8-AA858C2BFFF0}"/>
    <hyperlink ref="F130" r:id="rId3" xr:uid="{96767B71-6E8B-4323-B5D9-9D3CD27708C2}"/>
    <hyperlink ref="F134" r:id="rId4" xr:uid="{4A352004-F2CD-43AF-9F30-55F5BE3570B1}"/>
  </hyperlinks>
  <pageMargins left="0.39375001192092896" right="0.39375001192092896" top="0.39375001192092896" bottom="0.39375001192092896" header="0" footer="0"/>
  <pageSetup paperSize="9" fitToHeight="100" orientation="landscape" blackAndWhite="1" errors="blank"/>
  <headerFooter>
    <oddFooter>&amp;CStrana &amp;P z &amp;N</oddFooter>
  </headerFooter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13B268F0C10B469D7B9EFBE6B3F1BB" ma:contentTypeVersion="16" ma:contentTypeDescription="Vytvoří nový dokument" ma:contentTypeScope="" ma:versionID="c88bf5957b730472ad4c842769afca8b">
  <xsd:schema xmlns:xsd="http://www.w3.org/2001/XMLSchema" xmlns:xs="http://www.w3.org/2001/XMLSchema" xmlns:p="http://schemas.microsoft.com/office/2006/metadata/properties" xmlns:ns2="c54d4f33-09a9-4e61-9f2c-735854e80d39" xmlns:ns3="deebf2ab-32ca-43f8-90ff-9669036e88f0" targetNamespace="http://schemas.microsoft.com/office/2006/metadata/properties" ma:root="true" ma:fieldsID="73da4a0bafc72a601a0369750d123c50" ns2:_="" ns3:_="">
    <xsd:import namespace="c54d4f33-09a9-4e61-9f2c-735854e80d39"/>
    <xsd:import namespace="deebf2ab-32ca-43f8-90ff-9669036e88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d4f33-09a9-4e61-9f2c-735854e80d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c17283c-99e9-4be6-8aa0-bc5afa4178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bf2ab-32ca-43f8-90ff-9669036e88f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9bd565f-75f0-4b30-ae04-38c396c6ab53}" ma:internalName="TaxCatchAll" ma:showField="CatchAllData" ma:web="deebf2ab-32ca-43f8-90ff-9669036e8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ebf2ab-32ca-43f8-90ff-9669036e88f0"/>
    <lcf76f155ced4ddcb4097134ff3c332f xmlns="c54d4f33-09a9-4e61-9f2c-735854e80d3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CD397B-ECB5-4C22-A86C-857642AC5BD8}">
  <ds:schemaRefs>
    <ds:schemaRef ds:uri="http://schemas.microsoft.com/vsto/samples"/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853553-A098-4DAF-9B67-11C7360BCFF0}">
  <ds:schemaRefs>
    <ds:schemaRef ds:uri="http://schemas.microsoft.com/vsto/samples"/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4d4f33-09a9-4e61-9f2c-735854e80d39"/>
    <ds:schemaRef ds:uri="deebf2ab-32ca-43f8-90ff-9669036e8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D0248D-CF7C-4F33-B119-20D92C8682F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42</vt:i4>
      </vt:variant>
    </vt:vector>
  </HeadingPairs>
  <TitlesOfParts>
    <vt:vector size="64" baseType="lpstr">
      <vt:lpstr>Rekapitulace I.+II.</vt:lpstr>
      <vt:lpstr>SO 102.I Chodník</vt:lpstr>
      <vt:lpstr>SO 103.I Parkovací stání</vt:lpstr>
      <vt:lpstr>SO 104.I MK</vt:lpstr>
      <vt:lpstr>SO 105.I Přechody</vt:lpstr>
      <vt:lpstr>SO 106.I Sjezd</vt:lpstr>
      <vt:lpstr>SO 303.I Odvodnění</vt:lpstr>
      <vt:lpstr>SO 401.I VO</vt:lpstr>
      <vt:lpstr>SO 404.I Optika</vt:lpstr>
      <vt:lpstr>SO 801.I Sad</vt:lpstr>
      <vt:lpstr>SO 101.II Nový chodník</vt:lpstr>
      <vt:lpstr>SO 102.II Chodník</vt:lpstr>
      <vt:lpstr>SO 103.II Parkovací stání</vt:lpstr>
      <vt:lpstr>SO 104.II MK</vt:lpstr>
      <vt:lpstr>SO 105.II Přechody</vt:lpstr>
      <vt:lpstr>SO 106.II Sjezd</vt:lpstr>
      <vt:lpstr>SO 303.II Odvodnění</vt:lpstr>
      <vt:lpstr>SO 401.II VO</vt:lpstr>
      <vt:lpstr>SO 404.II Optika</vt:lpstr>
      <vt:lpstr>SO 801.II Sad</vt:lpstr>
      <vt:lpstr>VON I.+II.</vt:lpstr>
      <vt:lpstr>Pokyny pro vyplnění</vt:lpstr>
      <vt:lpstr>'Rekapitulace I.+II.'!Názvy_tisku</vt:lpstr>
      <vt:lpstr>'SO 101.II Nový chodník'!Názvy_tisku</vt:lpstr>
      <vt:lpstr>'SO 102.I Chodník'!Názvy_tisku</vt:lpstr>
      <vt:lpstr>'SO 102.II Chodník'!Názvy_tisku</vt:lpstr>
      <vt:lpstr>'SO 103.I Parkovací stání'!Názvy_tisku</vt:lpstr>
      <vt:lpstr>'SO 103.II Parkovací stání'!Názvy_tisku</vt:lpstr>
      <vt:lpstr>'SO 104.I MK'!Názvy_tisku</vt:lpstr>
      <vt:lpstr>'SO 104.II MK'!Názvy_tisku</vt:lpstr>
      <vt:lpstr>'SO 105.I Přechody'!Názvy_tisku</vt:lpstr>
      <vt:lpstr>'SO 105.II Přechody'!Názvy_tisku</vt:lpstr>
      <vt:lpstr>'SO 106.I Sjezd'!Názvy_tisku</vt:lpstr>
      <vt:lpstr>'SO 106.II Sjezd'!Názvy_tisku</vt:lpstr>
      <vt:lpstr>'SO 303.I Odvodnění'!Názvy_tisku</vt:lpstr>
      <vt:lpstr>'SO 303.II Odvodnění'!Názvy_tisku</vt:lpstr>
      <vt:lpstr>'SO 401.I VO'!Názvy_tisku</vt:lpstr>
      <vt:lpstr>'SO 401.II VO'!Názvy_tisku</vt:lpstr>
      <vt:lpstr>'SO 404.I Optika'!Názvy_tisku</vt:lpstr>
      <vt:lpstr>'SO 404.II Optika'!Názvy_tisku</vt:lpstr>
      <vt:lpstr>'SO 801.I Sad'!Názvy_tisku</vt:lpstr>
      <vt:lpstr>'SO 801.II Sad'!Názvy_tisku</vt:lpstr>
      <vt:lpstr>'VON I.+II.'!Názvy_tisku</vt:lpstr>
      <vt:lpstr>'Rekapitulace I.+II.'!Oblast_tisku</vt:lpstr>
      <vt:lpstr>'SO 101.II Nový chodník'!Oblast_tisku</vt:lpstr>
      <vt:lpstr>'SO 102.I Chodník'!Oblast_tisku</vt:lpstr>
      <vt:lpstr>'SO 102.II Chodník'!Oblast_tisku</vt:lpstr>
      <vt:lpstr>'SO 103.I Parkovací stání'!Oblast_tisku</vt:lpstr>
      <vt:lpstr>'SO 103.II Parkovací stání'!Oblast_tisku</vt:lpstr>
      <vt:lpstr>'SO 104.I MK'!Oblast_tisku</vt:lpstr>
      <vt:lpstr>'SO 104.II MK'!Oblast_tisku</vt:lpstr>
      <vt:lpstr>'SO 105.I Přechody'!Oblast_tisku</vt:lpstr>
      <vt:lpstr>'SO 105.II Přechody'!Oblast_tisku</vt:lpstr>
      <vt:lpstr>'SO 106.I Sjezd'!Oblast_tisku</vt:lpstr>
      <vt:lpstr>'SO 106.II Sjezd'!Oblast_tisku</vt:lpstr>
      <vt:lpstr>'SO 303.I Odvodnění'!Oblast_tisku</vt:lpstr>
      <vt:lpstr>'SO 303.II Odvodnění'!Oblast_tisku</vt:lpstr>
      <vt:lpstr>'SO 401.I VO'!Oblast_tisku</vt:lpstr>
      <vt:lpstr>'SO 401.II VO'!Oblast_tisku</vt:lpstr>
      <vt:lpstr>'SO 404.I Optika'!Oblast_tisku</vt:lpstr>
      <vt:lpstr>'SO 404.II Optika'!Oblast_tisku</vt:lpstr>
      <vt:lpstr>'SO 801.I Sad'!Oblast_tisku</vt:lpstr>
      <vt:lpstr>'SO 801.II Sad'!Oblast_tisku</vt:lpstr>
      <vt:lpstr>'VON I.+II.'!Oblast_tisku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Cvalín Karel</dc:creator>
  <cp:lastModifiedBy>Cvalín Karel</cp:lastModifiedBy>
  <cp:lastPrinted>2025-01-23T13:39:22Z</cp:lastPrinted>
  <dcterms:created xsi:type="dcterms:W3CDTF">2024-09-26T08:21:13Z</dcterms:created>
  <dcterms:modified xsi:type="dcterms:W3CDTF">2025-06-04T09:56:07Z</dcterms:modified>
</cp:coreProperties>
</file>